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16" activeTab="0"/>
  </bookViews>
  <sheets>
    <sheet name="Hardy Cross" sheetId="1" r:id="rId1"/>
    <sheet name="Ref" sheetId="2" r:id="rId2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<sst xmlns="http://schemas.openxmlformats.org/spreadsheetml/2006/main" count="740" uniqueCount="252">
  <si>
    <t xml:space="preserve"> </t>
  </si>
  <si>
    <t>ft</t>
  </si>
  <si>
    <t xml:space="preserve"> -</t>
  </si>
  <si>
    <t>Hardy Cross Part 1</t>
  </si>
  <si>
    <t>by Kenneth Lamb</t>
  </si>
  <si>
    <t>https://www.youtube.com/watch?v=pjUxSOCRVoo</t>
  </si>
  <si>
    <t>[3]</t>
  </si>
  <si>
    <t>q =</t>
  </si>
  <si>
    <t>AD =</t>
  </si>
  <si>
    <t>gpd/unit</t>
  </si>
  <si>
    <t>gpd/system</t>
  </si>
  <si>
    <t>gpm/system</t>
  </si>
  <si>
    <t>Ave minute demand</t>
  </si>
  <si>
    <t>AmD =</t>
  </si>
  <si>
    <t>MDD =</t>
  </si>
  <si>
    <t>AmD * MDF</t>
  </si>
  <si>
    <t>MDF =</t>
  </si>
  <si>
    <t xml:space="preserve">Max day demand </t>
  </si>
  <si>
    <t xml:space="preserve">Max Day Factor </t>
  </si>
  <si>
    <t>Nº of junctions</t>
  </si>
  <si>
    <t>Nu =</t>
  </si>
  <si>
    <t>Nj =</t>
  </si>
  <si>
    <t>Nu* q</t>
  </si>
  <si>
    <t>Demand per Junction</t>
  </si>
  <si>
    <t>DpJ =</t>
  </si>
  <si>
    <t>MDD / Nj</t>
  </si>
  <si>
    <t>gpm/junction</t>
  </si>
  <si>
    <t>System demand</t>
  </si>
  <si>
    <t>SD =</t>
  </si>
  <si>
    <t>MDD + FF</t>
  </si>
  <si>
    <t>Fire Flow</t>
  </si>
  <si>
    <t>FF =</t>
  </si>
  <si>
    <t>gpm</t>
  </si>
  <si>
    <t>J</t>
  </si>
  <si>
    <t>D</t>
  </si>
  <si>
    <t>I</t>
  </si>
  <si>
    <t>K</t>
  </si>
  <si>
    <t>E</t>
  </si>
  <si>
    <t>H</t>
  </si>
  <si>
    <t>G</t>
  </si>
  <si>
    <t>F</t>
  </si>
  <si>
    <t>C</t>
  </si>
  <si>
    <t>A</t>
  </si>
  <si>
    <t>Qgf =</t>
  </si>
  <si>
    <t>QF/2</t>
  </si>
  <si>
    <t>then</t>
  </si>
  <si>
    <t>Qef =</t>
  </si>
  <si>
    <t>Let</t>
  </si>
  <si>
    <t>Qke =</t>
  </si>
  <si>
    <t>Qef</t>
  </si>
  <si>
    <t>Qde =</t>
  </si>
  <si>
    <t>Qd+Qde</t>
  </si>
  <si>
    <t>Qd =</t>
  </si>
  <si>
    <t>Qkg =</t>
  </si>
  <si>
    <t>QHg =</t>
  </si>
  <si>
    <t>Qih =</t>
  </si>
  <si>
    <t>Qh + Qhg</t>
  </si>
  <si>
    <t>Qh =</t>
  </si>
  <si>
    <t>Qhg =</t>
  </si>
  <si>
    <t>Qg =</t>
  </si>
  <si>
    <t>Qj =</t>
  </si>
  <si>
    <t>Qi =</t>
  </si>
  <si>
    <t>Qk =</t>
  </si>
  <si>
    <t>Qe =</t>
  </si>
  <si>
    <t>Qf =</t>
  </si>
  <si>
    <t>DPj + FF</t>
  </si>
  <si>
    <t>Qf - Qgf</t>
  </si>
  <si>
    <t>Qke + Qde = Qe + Qef</t>
  </si>
  <si>
    <t>Qe + Qef - Qke</t>
  </si>
  <si>
    <t>Qik =</t>
  </si>
  <si>
    <t>Qk + Qkg + Qke</t>
  </si>
  <si>
    <t>QHg + Qkg = Qg + Qgf</t>
  </si>
  <si>
    <t xml:space="preserve">QHg  = </t>
  </si>
  <si>
    <t>Qg + Qgf - Qkg</t>
  </si>
  <si>
    <t>Qji =</t>
  </si>
  <si>
    <t>Qi + Qih + Qik</t>
  </si>
  <si>
    <t>Source A</t>
  </si>
  <si>
    <t>Source C</t>
  </si>
  <si>
    <t>Loop</t>
  </si>
  <si>
    <t>JDEKI</t>
  </si>
  <si>
    <t>JD</t>
  </si>
  <si>
    <t>DE</t>
  </si>
  <si>
    <t>EK</t>
  </si>
  <si>
    <t>KI</t>
  </si>
  <si>
    <t>IJ</t>
  </si>
  <si>
    <t>Pipe ID</t>
  </si>
  <si>
    <t>D (in)</t>
  </si>
  <si>
    <t>L (ft)</t>
  </si>
  <si>
    <t>r</t>
  </si>
  <si>
    <t>Q (gpm)</t>
  </si>
  <si>
    <t>h (ft)</t>
  </si>
  <si>
    <t>IKGH</t>
  </si>
  <si>
    <t>IK</t>
  </si>
  <si>
    <t>KG</t>
  </si>
  <si>
    <t>GH</t>
  </si>
  <si>
    <t>HI</t>
  </si>
  <si>
    <t>KEFG</t>
  </si>
  <si>
    <t>KE</t>
  </si>
  <si>
    <t>EF</t>
  </si>
  <si>
    <t>FG</t>
  </si>
  <si>
    <t>GK</t>
  </si>
  <si>
    <t>A-J</t>
  </si>
  <si>
    <t>QAJ =</t>
  </si>
  <si>
    <t>Qji + QJD</t>
  </si>
  <si>
    <t>QJI =</t>
  </si>
  <si>
    <t>Q JD =</t>
  </si>
  <si>
    <t>https://www.youtube.com/watch?v=t35MO1iMp4w</t>
  </si>
  <si>
    <t>Hardy Cross Part 2</t>
  </si>
  <si>
    <t>Hardy Cross Part 3</t>
  </si>
  <si>
    <t>[4]</t>
  </si>
  <si>
    <t>[5]</t>
  </si>
  <si>
    <t xml:space="preserve">Input information for the pipe running from thr reservoir to the first </t>
  </si>
  <si>
    <t>system junction</t>
  </si>
  <si>
    <t xml:space="preserve">   </t>
  </si>
  <si>
    <t>(Eq.1)</t>
  </si>
  <si>
    <t>n =</t>
  </si>
  <si>
    <t>R</t>
  </si>
  <si>
    <t>(Eq.2)</t>
  </si>
  <si>
    <t>(Eq.3)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</si>
  <si>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Q (gpm)</t>
    </r>
  </si>
  <si>
    <t>Sum</t>
  </si>
  <si>
    <r>
      <t>Q</t>
    </r>
    <r>
      <rPr>
        <vertAlign val="subscript"/>
        <sz val="11"/>
        <color indexed="8"/>
        <rFont val="Calibri"/>
        <family val="2"/>
      </rPr>
      <t>adj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</si>
  <si>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Q (cfs)</t>
    </r>
  </si>
  <si>
    <t>(Eq.5)</t>
  </si>
  <si>
    <t>Shared pipes</t>
  </si>
  <si>
    <t xml:space="preserve">For example, shared pipes shown in green cells </t>
  </si>
  <si>
    <t>In this case, the adjusted flow will be</t>
  </si>
  <si>
    <t>Qajd(EK) =</t>
  </si>
  <si>
    <t>https://www.youtube.com/watch?v=Tg4U3PdzzoY</t>
  </si>
  <si>
    <t>iteration</t>
  </si>
  <si>
    <t>Residual pressure</t>
  </si>
  <si>
    <t>Residual pressure at the junctions</t>
  </si>
  <si>
    <t>Pipe velocities</t>
  </si>
  <si>
    <t>Node</t>
  </si>
  <si>
    <t>x-coord.</t>
  </si>
  <si>
    <t>y-coord</t>
  </si>
  <si>
    <t>z-coord</t>
  </si>
  <si>
    <t>Pipe Nº</t>
  </si>
  <si>
    <t>Di</t>
  </si>
  <si>
    <t>in</t>
  </si>
  <si>
    <t>L</t>
  </si>
  <si>
    <t>ft²</t>
  </si>
  <si>
    <t>Q</t>
  </si>
  <si>
    <t>v</t>
  </si>
  <si>
    <t>fps</t>
  </si>
  <si>
    <t>hf</t>
  </si>
  <si>
    <t>ft/kft</t>
  </si>
  <si>
    <t>J-D</t>
  </si>
  <si>
    <t>D-E</t>
  </si>
  <si>
    <t>E-F</t>
  </si>
  <si>
    <t>F-G</t>
  </si>
  <si>
    <t>G-H</t>
  </si>
  <si>
    <t>H-I</t>
  </si>
  <si>
    <t>I-J</t>
  </si>
  <si>
    <t>K-E</t>
  </si>
  <si>
    <t>K-G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</si>
  <si>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EL</t>
    </r>
  </si>
  <si>
    <t xml:space="preserve">ft </t>
  </si>
  <si>
    <t>AD</t>
  </si>
  <si>
    <t>AJ</t>
  </si>
  <si>
    <t>AJ + JD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</si>
  <si>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</si>
  <si>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psi</t>
  </si>
  <si>
    <r>
      <t>P</t>
    </r>
    <r>
      <rPr>
        <vertAlign val="subscript"/>
        <sz val="11"/>
        <color indexed="8"/>
        <rFont val="Calibri"/>
        <family val="2"/>
      </rPr>
      <t>residual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EL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</si>
  <si>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AF</t>
  </si>
  <si>
    <t>AJ+JD+DE+EF</t>
  </si>
  <si>
    <t>Node i</t>
  </si>
  <si>
    <t>I-K</t>
  </si>
  <si>
    <t>1 gal =</t>
  </si>
  <si>
    <t>ft3</t>
  </si>
  <si>
    <t>Note 1</t>
  </si>
  <si>
    <t>Note 1.</t>
  </si>
  <si>
    <r>
      <t>IF(Q&lt;0,</t>
    </r>
    <r>
      <rPr>
        <b/>
        <sz val="14"/>
        <color indexed="10"/>
        <rFont val="Calibri"/>
        <family val="2"/>
      </rPr>
      <t>-</t>
    </r>
    <r>
      <rPr>
        <sz val="11"/>
        <color theme="1"/>
        <rFont val="Calibri"/>
        <family val="2"/>
      </rPr>
      <t>h*ABS(Q)^1.85,</t>
    </r>
    <r>
      <rPr>
        <sz val="14"/>
        <color indexed="10"/>
        <rFont val="Calibri"/>
        <family val="2"/>
      </rPr>
      <t>$</t>
    </r>
    <r>
      <rPr>
        <sz val="11"/>
        <color theme="1"/>
        <rFont val="Calibri"/>
        <family val="2"/>
      </rPr>
      <t>r*ABS(Q)^1.85)</t>
    </r>
  </si>
  <si>
    <r>
      <rPr>
        <sz val="10"/>
        <rFont val="Symbol"/>
        <family val="1"/>
      </rPr>
      <t>D</t>
    </r>
    <r>
      <rPr>
        <sz val="10"/>
        <rFont val="Calibri"/>
        <family val="2"/>
      </rPr>
      <t>Q (cfs)</t>
    </r>
  </si>
  <si>
    <t>Input information for the pipe running from thr reservoir to the first system junction</t>
  </si>
  <si>
    <t>Modification of (Eq.2) to allow for a</t>
  </si>
  <si>
    <t>a copy-paste method for the next</t>
  </si>
  <si>
    <t>Reservoir</t>
  </si>
  <si>
    <t xml:space="preserve">Pressure losses between node A and </t>
  </si>
  <si>
    <t>the selected node</t>
  </si>
  <si>
    <t xml:space="preserve">       Coordinates  (ft)</t>
  </si>
  <si>
    <t>Column with the elevation difference</t>
  </si>
  <si>
    <t>referred to the elevation of the junction A</t>
  </si>
  <si>
    <r>
      <t xml:space="preserve"> EL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- EL</t>
    </r>
    <r>
      <rPr>
        <vertAlign val="subscript"/>
        <sz val="11"/>
        <color indexed="8"/>
        <rFont val="Calibri"/>
        <family val="2"/>
      </rPr>
      <t>i</t>
    </r>
  </si>
  <si>
    <r>
      <t>ft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</t>
    </r>
  </si>
  <si>
    <t>Table 1</t>
  </si>
  <si>
    <t>1gpm =</t>
  </si>
  <si>
    <t>ft/min</t>
  </si>
  <si>
    <t>ft/s</t>
  </si>
  <si>
    <t>ft/(1000ft)</t>
  </si>
  <si>
    <r>
      <t>hf</t>
    </r>
    <r>
      <rPr>
        <vertAlign val="subscript"/>
        <sz val="11"/>
        <color indexed="8"/>
        <rFont val="Calibri"/>
        <family val="2"/>
      </rPr>
      <t>k</t>
    </r>
  </si>
  <si>
    <t>Pressure loss per 1000 ft</t>
  </si>
  <si>
    <r>
      <t>hf</t>
    </r>
    <r>
      <rPr>
        <b/>
        <vertAlign val="subscript"/>
        <sz val="11"/>
        <color indexed="8"/>
        <rFont val="Calibri"/>
        <family val="2"/>
      </rPr>
      <t>k</t>
    </r>
  </si>
  <si>
    <t>Table 4</t>
  </si>
  <si>
    <t>Consumptions in nodes</t>
  </si>
  <si>
    <t>Table 5</t>
  </si>
  <si>
    <t>G-F</t>
  </si>
  <si>
    <t>H-G</t>
  </si>
  <si>
    <t>J-I</t>
  </si>
  <si>
    <t>I-H</t>
  </si>
  <si>
    <t>Flow rates solution</t>
  </si>
  <si>
    <t>Table 6</t>
  </si>
  <si>
    <t>Table 2</t>
  </si>
  <si>
    <t>Table 3</t>
  </si>
  <si>
    <t>Table 7</t>
  </si>
  <si>
    <t>Data from Table 3 and Table 5</t>
  </si>
  <si>
    <t>(from Table 1)</t>
  </si>
  <si>
    <t>from Table 2</t>
  </si>
  <si>
    <t>Pipe diameters, Hazen-Williams constant</t>
  </si>
  <si>
    <t>and length are given in Table 3</t>
  </si>
  <si>
    <t>The water system shown in Figure 1 has the folowing data:</t>
  </si>
  <si>
    <t>Note. Length can be obtained from Table 2</t>
  </si>
  <si>
    <t>Assigned flows and calculated</t>
  </si>
  <si>
    <t>values</t>
  </si>
  <si>
    <t>Total number of houses in the system</t>
  </si>
  <si>
    <t>Junctions coordinates (ft)</t>
  </si>
  <si>
    <t>Fire flow</t>
  </si>
  <si>
    <t>(named as number of units Nu)</t>
  </si>
  <si>
    <t>Average day unit demnad</t>
  </si>
  <si>
    <t>1.- Assign flow directions in the loops</t>
  </si>
  <si>
    <t>A clockweise direction is assigned as positive</t>
  </si>
  <si>
    <t>2.- Water demand in each junction</t>
  </si>
  <si>
    <t>In the example the demands are defined</t>
  </si>
  <si>
    <t>as follows</t>
  </si>
  <si>
    <t>Average day demand in the system</t>
  </si>
  <si>
    <t>NU =</t>
  </si>
  <si>
    <t>units</t>
  </si>
  <si>
    <t>AD / (24*60)</t>
  </si>
  <si>
    <t>Assuming that all junction demans are</t>
  </si>
  <si>
    <t>the same</t>
  </si>
  <si>
    <t>Consumption at the nodes</t>
  </si>
  <si>
    <t>Figure 3</t>
  </si>
  <si>
    <t>3.- Assign the fire flow to junction F</t>
  </si>
  <si>
    <t>With data from Table 4</t>
  </si>
  <si>
    <t>4.- Assing flow values to the map</t>
  </si>
  <si>
    <t>Figure 4</t>
  </si>
  <si>
    <t>5,. Asign flow rates and flow directions to the pipes</t>
  </si>
  <si>
    <t>From Table 5</t>
  </si>
  <si>
    <t>6.- Tabulate flows obtained in Table 5</t>
  </si>
  <si>
    <t>Figure 4 (repeated)</t>
  </si>
  <si>
    <t>7.- Assign signs of flows, according Figure 4</t>
  </si>
  <si>
    <t>8.- Equations of Hardy Cross methos (imperial units)</t>
  </si>
  <si>
    <t>9.- Iterations.  Table 4</t>
  </si>
  <si>
    <t xml:space="preserve">iterations (shared pipes). </t>
  </si>
  <si>
    <t>K-I</t>
  </si>
  <si>
    <t>E-K</t>
  </si>
  <si>
    <t>G-K</t>
  </si>
  <si>
    <t>From Tables 5, 6 and 7</t>
  </si>
  <si>
    <t xml:space="preserve"> - </t>
  </si>
  <si>
    <t>Qjd =</t>
  </si>
  <si>
    <t>Pipes. Network analysis using the Hardy Cross method _Imperial units</t>
  </si>
  <si>
    <r>
      <t xml:space="preserve">Qini(EK)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Q(EK)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Q(KE)</t>
    </r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</si>
</sst>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  <numFmt numFmtId="165" formatCode="0.0E+00"/>
    <numFmt numFmtId="166" formatCode="0.0000"/>
    <numFmt numFmtId="16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4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Calibri"/>
      <family val="2"/>
    </font>
    <font>
      <sz val="10"/>
      <name val="Symbol"/>
      <family val="1"/>
    </font>
    <font>
      <b/>
      <sz val="12"/>
      <color indexed="40"/>
      <name val="Calibri"/>
      <family val="2"/>
    </font>
    <font>
      <b/>
      <sz val="11"/>
      <color indexed="40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sz val="16"/>
      <color indexed="10"/>
      <name val="Calibri"/>
      <family val="2"/>
    </font>
    <font>
      <b/>
      <sz val="11"/>
      <color indexed="47"/>
      <name val="Calibri"/>
      <family val="2"/>
    </font>
    <font>
      <sz val="11"/>
      <color indexed="47"/>
      <name val="Calibri"/>
      <family val="2"/>
    </font>
    <font>
      <sz val="12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sz val="16"/>
      <color rgb="FFFF0000"/>
      <name val="Calibri"/>
      <family val="2"/>
    </font>
    <font>
      <b/>
      <sz val="11"/>
      <color theme="5" tint="0.39998000860214233"/>
      <name val="Calibri"/>
      <family val="2"/>
    </font>
    <font>
      <sz val="11"/>
      <color theme="5" tint="0.39998000860214233"/>
      <name val="Calibri"/>
      <family val="2"/>
    </font>
    <font>
      <sz val="12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 style="medium">
        <color rgb="FF00B0F0"/>
      </left>
      <right/>
      <top style="double">
        <color rgb="FF00B0F0"/>
      </top>
      <bottom style="medium">
        <color rgb="FF00B0F0"/>
      </bottom>
    </border>
    <border>
      <left/>
      <right/>
      <top style="double">
        <color rgb="FF00B0F0"/>
      </top>
      <bottom style="medium">
        <color rgb="FF00B0F0"/>
      </bottom>
    </border>
    <border>
      <left/>
      <right style="double">
        <color rgb="FF00B0F0"/>
      </right>
      <top style="double">
        <color rgb="FF00B0F0"/>
      </top>
      <bottom style="medium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 style="thin">
        <color rgb="FF00B0F0"/>
      </left>
      <right/>
      <top style="double">
        <color rgb="FF00B0F0"/>
      </top>
      <bottom style="thin">
        <color rgb="FF00B0F0"/>
      </bottom>
    </border>
    <border>
      <left/>
      <right/>
      <top style="double">
        <color rgb="FF00B0F0"/>
      </top>
      <bottom style="thin">
        <color rgb="FF00B0F0"/>
      </bottom>
    </border>
    <border>
      <left/>
      <right style="thin">
        <color rgb="FF00B0F0"/>
      </right>
      <top style="double">
        <color rgb="FF00B0F0"/>
      </top>
      <bottom style="thin">
        <color rgb="FF00B0F0"/>
      </bottom>
    </border>
    <border>
      <left/>
      <right style="double">
        <color rgb="FF00B0F0"/>
      </right>
      <top style="thin">
        <color rgb="FF00B0F0"/>
      </top>
      <bottom style="thin">
        <color rgb="FF00B0F0"/>
      </bottom>
    </border>
    <border>
      <left/>
      <right style="double">
        <color rgb="FF00B0F0"/>
      </right>
      <top style="double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/>
      <right style="double">
        <color rgb="FF00B0F0"/>
      </right>
      <top/>
      <bottom style="thin">
        <color rgb="FF00B0F0"/>
      </bottom>
    </border>
    <border>
      <left style="thin">
        <color rgb="FF00B0F0"/>
      </left>
      <right style="double">
        <color rgb="FF00B0F0"/>
      </right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double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/>
      <top style="thin">
        <color rgb="FF00B0F0"/>
      </top>
      <bottom style="double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thin">
        <color rgb="FF00B0F0"/>
      </top>
      <bottom style="double">
        <color rgb="FF00B0F0"/>
      </bottom>
    </border>
    <border>
      <left style="thin">
        <color rgb="FF00B0F0"/>
      </left>
      <right/>
      <top style="double">
        <color rgb="FF00B0F0"/>
      </top>
      <bottom/>
    </border>
    <border>
      <left/>
      <right style="thin">
        <color rgb="FF00B0F0"/>
      </right>
      <top style="double">
        <color rgb="FF00B0F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1" fillId="0" borderId="0" xfId="52" applyAlignment="1">
      <alignment/>
    </xf>
    <xf numFmtId="0" fontId="60" fillId="0" borderId="0" xfId="0" applyFont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/>
    </xf>
    <xf numFmtId="1" fontId="6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61" fillId="0" borderId="0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61" fillId="0" borderId="0" xfId="0" applyNumberFormat="1" applyFont="1" applyBorder="1" applyAlignment="1">
      <alignment horizontal="left"/>
    </xf>
    <xf numFmtId="1" fontId="0" fillId="34" borderId="0" xfId="0" applyNumberFormat="1" applyFill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8" fillId="0" borderId="0" xfId="0" applyFont="1" applyBorder="1" applyAlignment="1">
      <alignment horizontal="left"/>
    </xf>
    <xf numFmtId="164" fontId="61" fillId="0" borderId="0" xfId="0" applyNumberFormat="1" applyFont="1" applyBorder="1" applyAlignment="1">
      <alignment/>
    </xf>
    <xf numFmtId="16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62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35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7" fontId="0" fillId="0" borderId="3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164" fontId="0" fillId="0" borderId="27" xfId="0" applyNumberForma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164" fontId="0" fillId="35" borderId="28" xfId="0" applyNumberForma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64" fontId="0" fillId="36" borderId="28" xfId="0" applyNumberFormat="1" applyFill="1" applyBorder="1" applyAlignment="1">
      <alignment horizontal="center"/>
    </xf>
    <xf numFmtId="164" fontId="0" fillId="15" borderId="28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35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1" xfId="0" applyNumberFormat="1" applyBorder="1" applyAlignment="1">
      <alignment/>
    </xf>
    <xf numFmtId="2" fontId="0" fillId="0" borderId="41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164" fontId="0" fillId="0" borderId="41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/>
    </xf>
    <xf numFmtId="165" fontId="0" fillId="0" borderId="22" xfId="0" applyNumberFormat="1" applyBorder="1" applyAlignment="1">
      <alignment horizontal="center"/>
    </xf>
    <xf numFmtId="165" fontId="0" fillId="33" borderId="22" xfId="0" applyNumberFormat="1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0" borderId="35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64" fontId="16" fillId="0" borderId="3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0" fontId="65" fillId="0" borderId="48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4" fontId="0" fillId="35" borderId="27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33" borderId="53" xfId="0" applyFill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66" fillId="0" borderId="0" xfId="0" applyFont="1" applyBorder="1" applyAlignment="1">
      <alignment/>
    </xf>
    <xf numFmtId="0" fontId="0" fillId="0" borderId="25" xfId="0" applyBorder="1" applyAlignment="1">
      <alignment/>
    </xf>
    <xf numFmtId="0" fontId="63" fillId="0" borderId="22" xfId="0" applyFont="1" applyBorder="1" applyAlignment="1">
      <alignment/>
    </xf>
    <xf numFmtId="0" fontId="0" fillId="0" borderId="27" xfId="0" applyBorder="1" applyAlignment="1">
      <alignment/>
    </xf>
    <xf numFmtId="0" fontId="67" fillId="0" borderId="31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Alignment="1">
      <alignment horizontal="right"/>
    </xf>
    <xf numFmtId="2" fontId="0" fillId="0" borderId="51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/>
    </xf>
    <xf numFmtId="0" fontId="64" fillId="0" borderId="60" xfId="0" applyFon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3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14" xfId="0" applyBorder="1" applyAlignment="1">
      <alignment horizontal="left"/>
    </xf>
    <xf numFmtId="0" fontId="0" fillId="0" borderId="49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1" xfId="0" applyBorder="1" applyAlignment="1">
      <alignment/>
    </xf>
    <xf numFmtId="164" fontId="0" fillId="34" borderId="41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57" fillId="0" borderId="42" xfId="0" applyFont="1" applyFill="1" applyBorder="1" applyAlignment="1">
      <alignment horizontal="left"/>
    </xf>
    <xf numFmtId="0" fontId="57" fillId="0" borderId="60" xfId="0" applyFont="1" applyFill="1" applyBorder="1" applyAlignment="1">
      <alignment horizontal="center"/>
    </xf>
    <xf numFmtId="164" fontId="0" fillId="34" borderId="60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7" fillId="0" borderId="12" xfId="0" applyFont="1" applyBorder="1" applyAlignment="1">
      <alignment/>
    </xf>
    <xf numFmtId="1" fontId="61" fillId="0" borderId="0" xfId="0" applyNumberFormat="1" applyFont="1" applyBorder="1" applyAlignment="1">
      <alignment horizontal="left"/>
    </xf>
    <xf numFmtId="1" fontId="58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27" xfId="0" applyNumberFormat="1" applyBorder="1" applyAlignment="1">
      <alignment horizontal="center"/>
    </xf>
    <xf numFmtId="0" fontId="68" fillId="0" borderId="0" xfId="0" applyFont="1" applyBorder="1" applyAlignment="1">
      <alignment/>
    </xf>
    <xf numFmtId="0" fontId="67" fillId="0" borderId="0" xfId="0" applyFont="1" applyAlignment="1">
      <alignment/>
    </xf>
    <xf numFmtId="0" fontId="69" fillId="0" borderId="0" xfId="0" applyFont="1" applyBorder="1" applyAlignment="1">
      <alignment/>
    </xf>
    <xf numFmtId="0" fontId="67" fillId="0" borderId="11" xfId="0" applyFont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2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6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34" borderId="0" xfId="0" applyNumberFormat="1" applyFill="1" applyBorder="1" applyAlignment="1">
      <alignment horizontal="center"/>
    </xf>
    <xf numFmtId="0" fontId="57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1" fontId="0" fillId="34" borderId="14" xfId="0" applyNumberFormat="1" applyFill="1" applyBorder="1" applyAlignment="1">
      <alignment horizontal="center"/>
    </xf>
    <xf numFmtId="0" fontId="70" fillId="0" borderId="0" xfId="0" applyFont="1" applyAlignment="1">
      <alignment/>
    </xf>
    <xf numFmtId="0" fontId="0" fillId="0" borderId="35" xfId="0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64" fontId="71" fillId="36" borderId="28" xfId="0" applyNumberFormat="1" applyFont="1" applyFill="1" applyBorder="1" applyAlignment="1">
      <alignment horizontal="center"/>
    </xf>
    <xf numFmtId="1" fontId="71" fillId="36" borderId="28" xfId="0" applyNumberFormat="1" applyFont="1" applyFill="1" applyBorder="1" applyAlignment="1">
      <alignment horizontal="center"/>
    </xf>
    <xf numFmtId="1" fontId="71" fillId="36" borderId="0" xfId="0" applyNumberFormat="1" applyFont="1" applyFill="1" applyBorder="1" applyAlignment="1">
      <alignment horizontal="center"/>
    </xf>
    <xf numFmtId="164" fontId="72" fillId="36" borderId="28" xfId="0" applyNumberFormat="1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1" fontId="71" fillId="36" borderId="0" xfId="0" applyNumberFormat="1" applyFont="1" applyFill="1" applyBorder="1" applyAlignment="1">
      <alignment horizontal="right"/>
    </xf>
    <xf numFmtId="1" fontId="71" fillId="36" borderId="0" xfId="0" applyNumberFormat="1" applyFont="1" applyFill="1" applyBorder="1" applyAlignment="1">
      <alignment/>
    </xf>
    <xf numFmtId="0" fontId="71" fillId="36" borderId="0" xfId="0" applyFont="1" applyFill="1" applyBorder="1" applyAlignment="1">
      <alignment horizontal="left"/>
    </xf>
    <xf numFmtId="164" fontId="71" fillId="36" borderId="0" xfId="0" applyNumberFormat="1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164" fontId="71" fillId="36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2.emf" /><Relationship Id="rId16" Type="http://schemas.openxmlformats.org/officeDocument/2006/relationships/image" Target="../media/image5.emf" /><Relationship Id="rId17" Type="http://schemas.openxmlformats.org/officeDocument/2006/relationships/image" Target="../media/image12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78</xdr:row>
      <xdr:rowOff>180975</xdr:rowOff>
    </xdr:from>
    <xdr:to>
      <xdr:col>20</xdr:col>
      <xdr:colOff>523875</xdr:colOff>
      <xdr:row>93</xdr:row>
      <xdr:rowOff>9525</xdr:rowOff>
    </xdr:to>
    <xdr:grpSp>
      <xdr:nvGrpSpPr>
        <xdr:cNvPr id="1" name="Group 46"/>
        <xdr:cNvGrpSpPr>
          <a:grpSpLocks/>
        </xdr:cNvGrpSpPr>
      </xdr:nvGrpSpPr>
      <xdr:grpSpPr>
        <a:xfrm>
          <a:off x="8734425" y="15249525"/>
          <a:ext cx="4276725" cy="27051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2" name="Group 34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3" name="Group 14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4" name="Freeform 11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" name="Straight Arrow Connector 1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" name="Group 15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7" name="Freeform 1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Straight Arrow Connector 1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" name="Group 18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0" name="Freeform 19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Straight Arrow Connector 20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2" name="Straight Connector 26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Straight Connector 28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Straight Connector 29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Straight Connector 31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Straight Connector 33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7" name="Straight Connector 36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37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Arrow Connector 39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42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43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traight Arrow Connector 44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45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542925</xdr:colOff>
      <xdr:row>80</xdr:row>
      <xdr:rowOff>19050</xdr:rowOff>
    </xdr:from>
    <xdr:to>
      <xdr:col>15</xdr:col>
      <xdr:colOff>76200</xdr:colOff>
      <xdr:row>80</xdr:row>
      <xdr:rowOff>104775</xdr:rowOff>
    </xdr:to>
    <xdr:sp>
      <xdr:nvSpPr>
        <xdr:cNvPr id="24" name="Straight Arrow Connector 2"/>
        <xdr:cNvSpPr>
          <a:spLocks/>
        </xdr:cNvSpPr>
      </xdr:nvSpPr>
      <xdr:spPr>
        <a:xfrm>
          <a:off x="9372600" y="1547812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542925</xdr:colOff>
      <xdr:row>86</xdr:row>
      <xdr:rowOff>9525</xdr:rowOff>
    </xdr:from>
    <xdr:to>
      <xdr:col>15</xdr:col>
      <xdr:colOff>76200</xdr:colOff>
      <xdr:row>86</xdr:row>
      <xdr:rowOff>95250</xdr:rowOff>
    </xdr:to>
    <xdr:sp>
      <xdr:nvSpPr>
        <xdr:cNvPr id="25" name="Straight Arrow Connector 30"/>
        <xdr:cNvSpPr>
          <a:spLocks/>
        </xdr:cNvSpPr>
      </xdr:nvSpPr>
      <xdr:spPr>
        <a:xfrm>
          <a:off x="9372600" y="1662112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542925</xdr:colOff>
      <xdr:row>85</xdr:row>
      <xdr:rowOff>180975</xdr:rowOff>
    </xdr:from>
    <xdr:to>
      <xdr:col>18</xdr:col>
      <xdr:colOff>76200</xdr:colOff>
      <xdr:row>86</xdr:row>
      <xdr:rowOff>76200</xdr:rowOff>
    </xdr:to>
    <xdr:sp>
      <xdr:nvSpPr>
        <xdr:cNvPr id="26" name="Straight Arrow Connector 32"/>
        <xdr:cNvSpPr>
          <a:spLocks/>
        </xdr:cNvSpPr>
      </xdr:nvSpPr>
      <xdr:spPr>
        <a:xfrm>
          <a:off x="11201400" y="1660207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542925</xdr:colOff>
      <xdr:row>92</xdr:row>
      <xdr:rowOff>104775</xdr:rowOff>
    </xdr:from>
    <xdr:to>
      <xdr:col>15</xdr:col>
      <xdr:colOff>123825</xdr:colOff>
      <xdr:row>93</xdr:row>
      <xdr:rowOff>9525</xdr:rowOff>
    </xdr:to>
    <xdr:sp>
      <xdr:nvSpPr>
        <xdr:cNvPr id="27" name="Straight Arrow Connector 35"/>
        <xdr:cNvSpPr>
          <a:spLocks/>
        </xdr:cNvSpPr>
      </xdr:nvSpPr>
      <xdr:spPr>
        <a:xfrm flipV="1">
          <a:off x="9372600" y="1785937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561975</xdr:colOff>
      <xdr:row>92</xdr:row>
      <xdr:rowOff>76200</xdr:rowOff>
    </xdr:from>
    <xdr:to>
      <xdr:col>18</xdr:col>
      <xdr:colOff>142875</xdr:colOff>
      <xdr:row>92</xdr:row>
      <xdr:rowOff>171450</xdr:rowOff>
    </xdr:to>
    <xdr:sp>
      <xdr:nvSpPr>
        <xdr:cNvPr id="28" name="Straight Arrow Connector 40"/>
        <xdr:cNvSpPr>
          <a:spLocks/>
        </xdr:cNvSpPr>
      </xdr:nvSpPr>
      <xdr:spPr>
        <a:xfrm flipV="1">
          <a:off x="11220450" y="17830800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352425</xdr:colOff>
      <xdr:row>85</xdr:row>
      <xdr:rowOff>180975</xdr:rowOff>
    </xdr:from>
    <xdr:to>
      <xdr:col>20</xdr:col>
      <xdr:colOff>523875</xdr:colOff>
      <xdr:row>86</xdr:row>
      <xdr:rowOff>66675</xdr:rowOff>
    </xdr:to>
    <xdr:sp>
      <xdr:nvSpPr>
        <xdr:cNvPr id="29" name="Straight Arrow Connector 41"/>
        <xdr:cNvSpPr>
          <a:spLocks/>
        </xdr:cNvSpPr>
      </xdr:nvSpPr>
      <xdr:spPr>
        <a:xfrm flipH="1">
          <a:off x="12839700" y="16602075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342900</xdr:colOff>
      <xdr:row>80</xdr:row>
      <xdr:rowOff>9525</xdr:rowOff>
    </xdr:from>
    <xdr:to>
      <xdr:col>20</xdr:col>
      <xdr:colOff>514350</xdr:colOff>
      <xdr:row>80</xdr:row>
      <xdr:rowOff>85725</xdr:rowOff>
    </xdr:to>
    <xdr:sp>
      <xdr:nvSpPr>
        <xdr:cNvPr id="30" name="Straight Arrow Connector 53"/>
        <xdr:cNvSpPr>
          <a:spLocks/>
        </xdr:cNvSpPr>
      </xdr:nvSpPr>
      <xdr:spPr>
        <a:xfrm flipH="1">
          <a:off x="12830175" y="15468600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390525</xdr:colOff>
      <xdr:row>92</xdr:row>
      <xdr:rowOff>66675</xdr:rowOff>
    </xdr:from>
    <xdr:to>
      <xdr:col>20</xdr:col>
      <xdr:colOff>514350</xdr:colOff>
      <xdr:row>92</xdr:row>
      <xdr:rowOff>152400</xdr:rowOff>
    </xdr:to>
    <xdr:sp>
      <xdr:nvSpPr>
        <xdr:cNvPr id="31" name="Straight Arrow Connector 54"/>
        <xdr:cNvSpPr>
          <a:spLocks/>
        </xdr:cNvSpPr>
      </xdr:nvSpPr>
      <xdr:spPr>
        <a:xfrm flipH="1" flipV="1">
          <a:off x="12877800" y="17821275"/>
          <a:ext cx="1238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266700</xdr:colOff>
      <xdr:row>93</xdr:row>
      <xdr:rowOff>0</xdr:rowOff>
    </xdr:from>
    <xdr:to>
      <xdr:col>19</xdr:col>
      <xdr:colOff>523875</xdr:colOff>
      <xdr:row>93</xdr:row>
      <xdr:rowOff>0</xdr:rowOff>
    </xdr:to>
    <xdr:sp>
      <xdr:nvSpPr>
        <xdr:cNvPr id="32" name="Straight Arrow Connector 9"/>
        <xdr:cNvSpPr>
          <a:spLocks/>
        </xdr:cNvSpPr>
      </xdr:nvSpPr>
      <xdr:spPr>
        <a:xfrm>
          <a:off x="12144375" y="179451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171450</xdr:rowOff>
    </xdr:from>
    <xdr:to>
      <xdr:col>21</xdr:col>
      <xdr:colOff>0</xdr:colOff>
      <xdr:row>90</xdr:row>
      <xdr:rowOff>38100</xdr:rowOff>
    </xdr:to>
    <xdr:sp>
      <xdr:nvSpPr>
        <xdr:cNvPr id="33" name="Straight Arrow Connector 12"/>
        <xdr:cNvSpPr>
          <a:spLocks/>
        </xdr:cNvSpPr>
      </xdr:nvSpPr>
      <xdr:spPr>
        <a:xfrm flipH="1">
          <a:off x="13096875" y="171640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390525</xdr:colOff>
      <xdr:row>80</xdr:row>
      <xdr:rowOff>0</xdr:rowOff>
    </xdr:from>
    <xdr:to>
      <xdr:col>18</xdr:col>
      <xdr:colOff>38100</xdr:colOff>
      <xdr:row>80</xdr:row>
      <xdr:rowOff>0</xdr:rowOff>
    </xdr:to>
    <xdr:sp>
      <xdr:nvSpPr>
        <xdr:cNvPr id="34" name="Straight Arrow Connector 59"/>
        <xdr:cNvSpPr>
          <a:spLocks/>
        </xdr:cNvSpPr>
      </xdr:nvSpPr>
      <xdr:spPr>
        <a:xfrm>
          <a:off x="11049000" y="154590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86</xdr:row>
      <xdr:rowOff>0</xdr:rowOff>
    </xdr:from>
    <xdr:to>
      <xdr:col>16</xdr:col>
      <xdr:colOff>466725</xdr:colOff>
      <xdr:row>86</xdr:row>
      <xdr:rowOff>0</xdr:rowOff>
    </xdr:to>
    <xdr:sp>
      <xdr:nvSpPr>
        <xdr:cNvPr id="35" name="Straight Arrow Connector 60"/>
        <xdr:cNvSpPr>
          <a:spLocks/>
        </xdr:cNvSpPr>
      </xdr:nvSpPr>
      <xdr:spPr>
        <a:xfrm>
          <a:off x="10258425" y="166116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600075</xdr:colOff>
      <xdr:row>83</xdr:row>
      <xdr:rowOff>19050</xdr:rowOff>
    </xdr:from>
    <xdr:to>
      <xdr:col>20</xdr:col>
      <xdr:colOff>600075</xdr:colOff>
      <xdr:row>84</xdr:row>
      <xdr:rowOff>76200</xdr:rowOff>
    </xdr:to>
    <xdr:sp>
      <xdr:nvSpPr>
        <xdr:cNvPr id="36" name="Straight Arrow Connector 61"/>
        <xdr:cNvSpPr>
          <a:spLocks/>
        </xdr:cNvSpPr>
      </xdr:nvSpPr>
      <xdr:spPr>
        <a:xfrm flipH="1">
          <a:off x="13087350" y="160591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86</xdr:row>
      <xdr:rowOff>9525</xdr:rowOff>
    </xdr:from>
    <xdr:to>
      <xdr:col>19</xdr:col>
      <xdr:colOff>428625</xdr:colOff>
      <xdr:row>86</xdr:row>
      <xdr:rowOff>9525</xdr:rowOff>
    </xdr:to>
    <xdr:sp>
      <xdr:nvSpPr>
        <xdr:cNvPr id="37" name="Straight Arrow Connector 62"/>
        <xdr:cNvSpPr>
          <a:spLocks/>
        </xdr:cNvSpPr>
      </xdr:nvSpPr>
      <xdr:spPr>
        <a:xfrm>
          <a:off x="12049125" y="166211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266700</xdr:colOff>
      <xdr:row>93</xdr:row>
      <xdr:rowOff>9525</xdr:rowOff>
    </xdr:from>
    <xdr:to>
      <xdr:col>16</xdr:col>
      <xdr:colOff>523875</xdr:colOff>
      <xdr:row>93</xdr:row>
      <xdr:rowOff>9525</xdr:rowOff>
    </xdr:to>
    <xdr:sp>
      <xdr:nvSpPr>
        <xdr:cNvPr id="38" name="Straight Arrow Connector 63"/>
        <xdr:cNvSpPr>
          <a:spLocks/>
        </xdr:cNvSpPr>
      </xdr:nvSpPr>
      <xdr:spPr>
        <a:xfrm>
          <a:off x="10315575" y="179546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87</xdr:row>
      <xdr:rowOff>142875</xdr:rowOff>
    </xdr:from>
    <xdr:to>
      <xdr:col>18</xdr:col>
      <xdr:colOff>0</xdr:colOff>
      <xdr:row>89</xdr:row>
      <xdr:rowOff>9525</xdr:rowOff>
    </xdr:to>
    <xdr:sp>
      <xdr:nvSpPr>
        <xdr:cNvPr id="39" name="Straight Arrow Connector 64"/>
        <xdr:cNvSpPr>
          <a:spLocks/>
        </xdr:cNvSpPr>
      </xdr:nvSpPr>
      <xdr:spPr>
        <a:xfrm flipH="1">
          <a:off x="11268075" y="169449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88</xdr:row>
      <xdr:rowOff>142875</xdr:rowOff>
    </xdr:from>
    <xdr:to>
      <xdr:col>15</xdr:col>
      <xdr:colOff>0</xdr:colOff>
      <xdr:row>90</xdr:row>
      <xdr:rowOff>9525</xdr:rowOff>
    </xdr:to>
    <xdr:sp>
      <xdr:nvSpPr>
        <xdr:cNvPr id="40" name="Straight Arrow Connector 67"/>
        <xdr:cNvSpPr>
          <a:spLocks/>
        </xdr:cNvSpPr>
      </xdr:nvSpPr>
      <xdr:spPr>
        <a:xfrm flipH="1">
          <a:off x="9439275" y="171354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82</xdr:row>
      <xdr:rowOff>95250</xdr:rowOff>
    </xdr:from>
    <xdr:to>
      <xdr:col>15</xdr:col>
      <xdr:colOff>9525</xdr:colOff>
      <xdr:row>83</xdr:row>
      <xdr:rowOff>152400</xdr:rowOff>
    </xdr:to>
    <xdr:sp>
      <xdr:nvSpPr>
        <xdr:cNvPr id="41" name="Straight Arrow Connector 69"/>
        <xdr:cNvSpPr>
          <a:spLocks/>
        </xdr:cNvSpPr>
      </xdr:nvSpPr>
      <xdr:spPr>
        <a:xfrm flipH="1">
          <a:off x="9448800" y="159448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104775</xdr:colOff>
      <xdr:row>97</xdr:row>
      <xdr:rowOff>123825</xdr:rowOff>
    </xdr:from>
    <xdr:to>
      <xdr:col>21</xdr:col>
      <xdr:colOff>304800</xdr:colOff>
      <xdr:row>112</xdr:row>
      <xdr:rowOff>161925</xdr:rowOff>
    </xdr:to>
    <xdr:pic>
      <xdr:nvPicPr>
        <xdr:cNvPr id="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8830925"/>
          <a:ext cx="4467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117</xdr:row>
      <xdr:rowOff>76200</xdr:rowOff>
    </xdr:from>
    <xdr:to>
      <xdr:col>34</xdr:col>
      <xdr:colOff>247650</xdr:colOff>
      <xdr:row>133</xdr:row>
      <xdr:rowOff>152400</xdr:rowOff>
    </xdr:to>
    <xdr:pic>
      <xdr:nvPicPr>
        <xdr:cNvPr id="43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35575" y="22726650"/>
          <a:ext cx="3524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246</xdr:row>
      <xdr:rowOff>47625</xdr:rowOff>
    </xdr:from>
    <xdr:to>
      <xdr:col>19</xdr:col>
      <xdr:colOff>571500</xdr:colOff>
      <xdr:row>248</xdr:row>
      <xdr:rowOff>133350</xdr:rowOff>
    </xdr:to>
    <xdr:grpSp>
      <xdr:nvGrpSpPr>
        <xdr:cNvPr id="44" name="Group 22"/>
        <xdr:cNvGrpSpPr>
          <a:grpSpLocks/>
        </xdr:cNvGrpSpPr>
      </xdr:nvGrpSpPr>
      <xdr:grpSpPr>
        <a:xfrm>
          <a:off x="12192000" y="47786925"/>
          <a:ext cx="257175" cy="466725"/>
          <a:chOff x="10763250" y="33870900"/>
          <a:chExt cx="257175" cy="466725"/>
        </a:xfrm>
        <a:solidFill>
          <a:srgbClr val="FFFFFF"/>
        </a:solidFill>
      </xdr:grpSpPr>
      <xdr:sp>
        <xdr:nvSpPr>
          <xdr:cNvPr id="45" name="Straight Arrow Connector 8"/>
          <xdr:cNvSpPr>
            <a:spLocks/>
          </xdr:cNvSpPr>
        </xdr:nvSpPr>
        <xdr:spPr>
          <a:xfrm flipV="1">
            <a:off x="10763250" y="33870900"/>
            <a:ext cx="0" cy="457157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Straight Connector 21"/>
          <xdr:cNvSpPr>
            <a:spLocks/>
          </xdr:cNvSpPr>
        </xdr:nvSpPr>
        <xdr:spPr>
          <a:xfrm>
            <a:off x="10763250" y="34337625"/>
            <a:ext cx="257175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247650</xdr:colOff>
      <xdr:row>269</xdr:row>
      <xdr:rowOff>104775</xdr:rowOff>
    </xdr:from>
    <xdr:to>
      <xdr:col>18</xdr:col>
      <xdr:colOff>581025</xdr:colOff>
      <xdr:row>278</xdr:row>
      <xdr:rowOff>133350</xdr:rowOff>
    </xdr:to>
    <xdr:pic>
      <xdr:nvPicPr>
        <xdr:cNvPr id="4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52301775"/>
          <a:ext cx="33813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333375</xdr:colOff>
      <xdr:row>261</xdr:row>
      <xdr:rowOff>38100</xdr:rowOff>
    </xdr:to>
    <xdr:pic>
      <xdr:nvPicPr>
        <xdr:cNvPr id="48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48901350"/>
          <a:ext cx="33813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552450</xdr:colOff>
      <xdr:row>246</xdr:row>
      <xdr:rowOff>152400</xdr:rowOff>
    </xdr:from>
    <xdr:to>
      <xdr:col>18</xdr:col>
      <xdr:colOff>352425</xdr:colOff>
      <xdr:row>248</xdr:row>
      <xdr:rowOff>123825</xdr:rowOff>
    </xdr:to>
    <xdr:grpSp>
      <xdr:nvGrpSpPr>
        <xdr:cNvPr id="49" name="Group 5157"/>
        <xdr:cNvGrpSpPr>
          <a:grpSpLocks/>
        </xdr:cNvGrpSpPr>
      </xdr:nvGrpSpPr>
      <xdr:grpSpPr>
        <a:xfrm>
          <a:off x="10601325" y="47891700"/>
          <a:ext cx="1019175" cy="352425"/>
          <a:chOff x="10391775" y="40547925"/>
          <a:chExt cx="847725" cy="352425"/>
        </a:xfrm>
        <a:solidFill>
          <a:srgbClr val="FFFFFF"/>
        </a:solidFill>
      </xdr:grpSpPr>
      <xdr:sp>
        <xdr:nvSpPr>
          <xdr:cNvPr id="50" name="Straight Connector 5154"/>
          <xdr:cNvSpPr>
            <a:spLocks/>
          </xdr:cNvSpPr>
        </xdr:nvSpPr>
        <xdr:spPr>
          <a:xfrm>
            <a:off x="10391775" y="40890835"/>
            <a:ext cx="828651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Straight Arrow Connector 5156"/>
          <xdr:cNvSpPr>
            <a:spLocks/>
          </xdr:cNvSpPr>
        </xdr:nvSpPr>
        <xdr:spPr>
          <a:xfrm flipV="1">
            <a:off x="11239500" y="40547925"/>
            <a:ext cx="0" cy="35242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600075</xdr:colOff>
      <xdr:row>309</xdr:row>
      <xdr:rowOff>0</xdr:rowOff>
    </xdr:from>
    <xdr:to>
      <xdr:col>23</xdr:col>
      <xdr:colOff>0</xdr:colOff>
      <xdr:row>323</xdr:row>
      <xdr:rowOff>28575</xdr:rowOff>
    </xdr:to>
    <xdr:grpSp>
      <xdr:nvGrpSpPr>
        <xdr:cNvPr id="52" name="Group 106"/>
        <xdr:cNvGrpSpPr>
          <a:grpSpLocks/>
        </xdr:cNvGrpSpPr>
      </xdr:nvGrpSpPr>
      <xdr:grpSpPr>
        <a:xfrm>
          <a:off x="10039350" y="59893200"/>
          <a:ext cx="4467225" cy="272415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53" name="Group 107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54" name="Group 115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55" name="Freeform 131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Straight Arrow Connector 13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7" name="Group 116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58" name="Freeform 128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Straight Arrow Connector 129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0" name="Group 117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61" name="Freeform 124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2" name="Straight Arrow Connector 126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3" name="Straight Connector 118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4" name="Straight Connector 119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5" name="Straight Connector 120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" name="Straight Connector 121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Straight Connector 123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8" name="Straight Connector 108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Freeform 109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Straight Arrow Connector 110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Rectangle 111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Rectangle 112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Straight Arrow Connector 113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Freeform 114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309</xdr:row>
      <xdr:rowOff>209550</xdr:rowOff>
    </xdr:from>
    <xdr:to>
      <xdr:col>17</xdr:col>
      <xdr:colOff>152400</xdr:colOff>
      <xdr:row>310</xdr:row>
      <xdr:rowOff>76200</xdr:rowOff>
    </xdr:to>
    <xdr:sp>
      <xdr:nvSpPr>
        <xdr:cNvPr id="75" name="Straight Arrow Connector 135"/>
        <xdr:cNvSpPr>
          <a:spLocks/>
        </xdr:cNvSpPr>
      </xdr:nvSpPr>
      <xdr:spPr>
        <a:xfrm>
          <a:off x="10668000" y="6010275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316</xdr:row>
      <xdr:rowOff>0</xdr:rowOff>
    </xdr:from>
    <xdr:to>
      <xdr:col>17</xdr:col>
      <xdr:colOff>190500</xdr:colOff>
      <xdr:row>316</xdr:row>
      <xdr:rowOff>85725</xdr:rowOff>
    </xdr:to>
    <xdr:sp>
      <xdr:nvSpPr>
        <xdr:cNvPr id="76" name="Straight Arrow Connector 136"/>
        <xdr:cNvSpPr>
          <a:spLocks/>
        </xdr:cNvSpPr>
      </xdr:nvSpPr>
      <xdr:spPr>
        <a:xfrm>
          <a:off x="10706100" y="6125527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316</xdr:row>
      <xdr:rowOff>9525</xdr:rowOff>
    </xdr:from>
    <xdr:to>
      <xdr:col>20</xdr:col>
      <xdr:colOff>228600</xdr:colOff>
      <xdr:row>316</xdr:row>
      <xdr:rowOff>95250</xdr:rowOff>
    </xdr:to>
    <xdr:sp>
      <xdr:nvSpPr>
        <xdr:cNvPr id="77" name="Straight Arrow Connector 137"/>
        <xdr:cNvSpPr>
          <a:spLocks/>
        </xdr:cNvSpPr>
      </xdr:nvSpPr>
      <xdr:spPr>
        <a:xfrm>
          <a:off x="12573000" y="612648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590550</xdr:colOff>
      <xdr:row>322</xdr:row>
      <xdr:rowOff>95250</xdr:rowOff>
    </xdr:from>
    <xdr:to>
      <xdr:col>17</xdr:col>
      <xdr:colOff>171450</xdr:colOff>
      <xdr:row>323</xdr:row>
      <xdr:rowOff>0</xdr:rowOff>
    </xdr:to>
    <xdr:sp>
      <xdr:nvSpPr>
        <xdr:cNvPr id="78" name="Straight Arrow Connector 139"/>
        <xdr:cNvSpPr>
          <a:spLocks/>
        </xdr:cNvSpPr>
      </xdr:nvSpPr>
      <xdr:spPr>
        <a:xfrm flipV="1">
          <a:off x="10639425" y="6249352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322</xdr:row>
      <xdr:rowOff>95250</xdr:rowOff>
    </xdr:from>
    <xdr:to>
      <xdr:col>20</xdr:col>
      <xdr:colOff>266700</xdr:colOff>
      <xdr:row>323</xdr:row>
      <xdr:rowOff>0</xdr:rowOff>
    </xdr:to>
    <xdr:sp>
      <xdr:nvSpPr>
        <xdr:cNvPr id="79" name="Straight Arrow Connector 141"/>
        <xdr:cNvSpPr>
          <a:spLocks/>
        </xdr:cNvSpPr>
      </xdr:nvSpPr>
      <xdr:spPr>
        <a:xfrm flipV="1">
          <a:off x="12563475" y="6249352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600075</xdr:colOff>
      <xdr:row>316</xdr:row>
      <xdr:rowOff>9525</xdr:rowOff>
    </xdr:from>
    <xdr:to>
      <xdr:col>22</xdr:col>
      <xdr:colOff>771525</xdr:colOff>
      <xdr:row>316</xdr:row>
      <xdr:rowOff>85725</xdr:rowOff>
    </xdr:to>
    <xdr:sp>
      <xdr:nvSpPr>
        <xdr:cNvPr id="80" name="Straight Arrow Connector 143"/>
        <xdr:cNvSpPr>
          <a:spLocks/>
        </xdr:cNvSpPr>
      </xdr:nvSpPr>
      <xdr:spPr>
        <a:xfrm flipH="1">
          <a:off x="14306550" y="61264800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428625</xdr:colOff>
      <xdr:row>310</xdr:row>
      <xdr:rowOff>9525</xdr:rowOff>
    </xdr:from>
    <xdr:to>
      <xdr:col>22</xdr:col>
      <xdr:colOff>790575</xdr:colOff>
      <xdr:row>310</xdr:row>
      <xdr:rowOff>85725</xdr:rowOff>
    </xdr:to>
    <xdr:sp>
      <xdr:nvSpPr>
        <xdr:cNvPr id="81" name="Straight Arrow Connector 144"/>
        <xdr:cNvSpPr>
          <a:spLocks/>
        </xdr:cNvSpPr>
      </xdr:nvSpPr>
      <xdr:spPr>
        <a:xfrm flipH="1">
          <a:off x="14135100" y="60121800"/>
          <a:ext cx="3619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495300</xdr:colOff>
      <xdr:row>322</xdr:row>
      <xdr:rowOff>95250</xdr:rowOff>
    </xdr:from>
    <xdr:to>
      <xdr:col>23</xdr:col>
      <xdr:colOff>9525</xdr:colOff>
      <xdr:row>322</xdr:row>
      <xdr:rowOff>180975</xdr:rowOff>
    </xdr:to>
    <xdr:sp>
      <xdr:nvSpPr>
        <xdr:cNvPr id="82" name="Straight Arrow Connector 145"/>
        <xdr:cNvSpPr>
          <a:spLocks/>
        </xdr:cNvSpPr>
      </xdr:nvSpPr>
      <xdr:spPr>
        <a:xfrm flipH="1" flipV="1">
          <a:off x="14201775" y="62493525"/>
          <a:ext cx="3143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323</xdr:row>
      <xdr:rowOff>0</xdr:rowOff>
    </xdr:from>
    <xdr:to>
      <xdr:col>21</xdr:col>
      <xdr:colOff>523875</xdr:colOff>
      <xdr:row>323</xdr:row>
      <xdr:rowOff>0</xdr:rowOff>
    </xdr:to>
    <xdr:sp>
      <xdr:nvSpPr>
        <xdr:cNvPr id="83" name="Straight Arrow Connector 146"/>
        <xdr:cNvSpPr>
          <a:spLocks/>
        </xdr:cNvSpPr>
      </xdr:nvSpPr>
      <xdr:spPr>
        <a:xfrm>
          <a:off x="13363575" y="625887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318</xdr:row>
      <xdr:rowOff>171450</xdr:rowOff>
    </xdr:from>
    <xdr:to>
      <xdr:col>23</xdr:col>
      <xdr:colOff>0</xdr:colOff>
      <xdr:row>320</xdr:row>
      <xdr:rowOff>38100</xdr:rowOff>
    </xdr:to>
    <xdr:sp>
      <xdr:nvSpPr>
        <xdr:cNvPr id="84" name="Straight Arrow Connector 147"/>
        <xdr:cNvSpPr>
          <a:spLocks/>
        </xdr:cNvSpPr>
      </xdr:nvSpPr>
      <xdr:spPr>
        <a:xfrm flipH="1">
          <a:off x="14506575" y="618077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390525</xdr:colOff>
      <xdr:row>310</xdr:row>
      <xdr:rowOff>0</xdr:rowOff>
    </xdr:from>
    <xdr:to>
      <xdr:col>20</xdr:col>
      <xdr:colOff>38100</xdr:colOff>
      <xdr:row>310</xdr:row>
      <xdr:rowOff>0</xdr:rowOff>
    </xdr:to>
    <xdr:sp>
      <xdr:nvSpPr>
        <xdr:cNvPr id="85" name="Straight Arrow Connector 148"/>
        <xdr:cNvSpPr>
          <a:spLocks/>
        </xdr:cNvSpPr>
      </xdr:nvSpPr>
      <xdr:spPr>
        <a:xfrm>
          <a:off x="12268200" y="601122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316</xdr:row>
      <xdr:rowOff>0</xdr:rowOff>
    </xdr:from>
    <xdr:to>
      <xdr:col>18</xdr:col>
      <xdr:colOff>466725</xdr:colOff>
      <xdr:row>316</xdr:row>
      <xdr:rowOff>0</xdr:rowOff>
    </xdr:to>
    <xdr:sp>
      <xdr:nvSpPr>
        <xdr:cNvPr id="86" name="Straight Arrow Connector 149"/>
        <xdr:cNvSpPr>
          <a:spLocks/>
        </xdr:cNvSpPr>
      </xdr:nvSpPr>
      <xdr:spPr>
        <a:xfrm>
          <a:off x="11477625" y="612552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600075</xdr:colOff>
      <xdr:row>313</xdr:row>
      <xdr:rowOff>19050</xdr:rowOff>
    </xdr:from>
    <xdr:to>
      <xdr:col>22</xdr:col>
      <xdr:colOff>600075</xdr:colOff>
      <xdr:row>314</xdr:row>
      <xdr:rowOff>76200</xdr:rowOff>
    </xdr:to>
    <xdr:sp>
      <xdr:nvSpPr>
        <xdr:cNvPr id="87" name="Straight Arrow Connector 150"/>
        <xdr:cNvSpPr>
          <a:spLocks/>
        </xdr:cNvSpPr>
      </xdr:nvSpPr>
      <xdr:spPr>
        <a:xfrm flipH="1">
          <a:off x="14306550" y="607028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171450</xdr:colOff>
      <xdr:row>316</xdr:row>
      <xdr:rowOff>9525</xdr:rowOff>
    </xdr:from>
    <xdr:to>
      <xdr:col>21</xdr:col>
      <xdr:colOff>428625</xdr:colOff>
      <xdr:row>316</xdr:row>
      <xdr:rowOff>9525</xdr:rowOff>
    </xdr:to>
    <xdr:sp>
      <xdr:nvSpPr>
        <xdr:cNvPr id="88" name="Straight Arrow Connector 151"/>
        <xdr:cNvSpPr>
          <a:spLocks/>
        </xdr:cNvSpPr>
      </xdr:nvSpPr>
      <xdr:spPr>
        <a:xfrm>
          <a:off x="13268325" y="612648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323</xdr:row>
      <xdr:rowOff>9525</xdr:rowOff>
    </xdr:from>
    <xdr:to>
      <xdr:col>18</xdr:col>
      <xdr:colOff>523875</xdr:colOff>
      <xdr:row>323</xdr:row>
      <xdr:rowOff>9525</xdr:rowOff>
    </xdr:to>
    <xdr:sp>
      <xdr:nvSpPr>
        <xdr:cNvPr id="89" name="Straight Arrow Connector 152"/>
        <xdr:cNvSpPr>
          <a:spLocks/>
        </xdr:cNvSpPr>
      </xdr:nvSpPr>
      <xdr:spPr>
        <a:xfrm>
          <a:off x="11534775" y="625983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317</xdr:row>
      <xdr:rowOff>142875</xdr:rowOff>
    </xdr:from>
    <xdr:to>
      <xdr:col>20</xdr:col>
      <xdr:colOff>0</xdr:colOff>
      <xdr:row>319</xdr:row>
      <xdr:rowOff>9525</xdr:rowOff>
    </xdr:to>
    <xdr:sp>
      <xdr:nvSpPr>
        <xdr:cNvPr id="90" name="Straight Arrow Connector 153"/>
        <xdr:cNvSpPr>
          <a:spLocks/>
        </xdr:cNvSpPr>
      </xdr:nvSpPr>
      <xdr:spPr>
        <a:xfrm flipH="1">
          <a:off x="12487275" y="615886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318</xdr:row>
      <xdr:rowOff>142875</xdr:rowOff>
    </xdr:from>
    <xdr:to>
      <xdr:col>17</xdr:col>
      <xdr:colOff>0</xdr:colOff>
      <xdr:row>320</xdr:row>
      <xdr:rowOff>9525</xdr:rowOff>
    </xdr:to>
    <xdr:sp>
      <xdr:nvSpPr>
        <xdr:cNvPr id="91" name="Straight Arrow Connector 154"/>
        <xdr:cNvSpPr>
          <a:spLocks/>
        </xdr:cNvSpPr>
      </xdr:nvSpPr>
      <xdr:spPr>
        <a:xfrm flipH="1">
          <a:off x="10658475" y="617791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312</xdr:row>
      <xdr:rowOff>95250</xdr:rowOff>
    </xdr:from>
    <xdr:to>
      <xdr:col>17</xdr:col>
      <xdr:colOff>9525</xdr:colOff>
      <xdr:row>313</xdr:row>
      <xdr:rowOff>152400</xdr:rowOff>
    </xdr:to>
    <xdr:sp>
      <xdr:nvSpPr>
        <xdr:cNvPr id="92" name="Straight Arrow Connector 155"/>
        <xdr:cNvSpPr>
          <a:spLocks/>
        </xdr:cNvSpPr>
      </xdr:nvSpPr>
      <xdr:spPr>
        <a:xfrm flipH="1">
          <a:off x="10668000" y="605885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238125</xdr:colOff>
      <xdr:row>4</xdr:row>
      <xdr:rowOff>47625</xdr:rowOff>
    </xdr:from>
    <xdr:to>
      <xdr:col>26</xdr:col>
      <xdr:colOff>523875</xdr:colOff>
      <xdr:row>20</xdr:row>
      <xdr:rowOff>152400</xdr:rowOff>
    </xdr:to>
    <xdr:pic>
      <xdr:nvPicPr>
        <xdr:cNvPr id="93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25400" y="828675"/>
          <a:ext cx="41338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44</xdr:row>
      <xdr:rowOff>38100</xdr:rowOff>
    </xdr:from>
    <xdr:to>
      <xdr:col>7</xdr:col>
      <xdr:colOff>628650</xdr:colOff>
      <xdr:row>61</xdr:row>
      <xdr:rowOff>171450</xdr:rowOff>
    </xdr:to>
    <xdr:pic>
      <xdr:nvPicPr>
        <xdr:cNvPr id="94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8553450"/>
          <a:ext cx="4048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44</xdr:row>
      <xdr:rowOff>180975</xdr:rowOff>
    </xdr:from>
    <xdr:to>
      <xdr:col>26</xdr:col>
      <xdr:colOff>47625</xdr:colOff>
      <xdr:row>59</xdr:row>
      <xdr:rowOff>9525</xdr:rowOff>
    </xdr:to>
    <xdr:grpSp>
      <xdr:nvGrpSpPr>
        <xdr:cNvPr id="95" name="Group 195"/>
        <xdr:cNvGrpSpPr>
          <a:grpSpLocks/>
        </xdr:cNvGrpSpPr>
      </xdr:nvGrpSpPr>
      <xdr:grpSpPr>
        <a:xfrm>
          <a:off x="11915775" y="8696325"/>
          <a:ext cx="4467225" cy="27051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96" name="Group 196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97" name="Group 204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98" name="Freeform 21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Straight Arrow Connector 21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0" name="Group 205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01" name="Freeform 214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Straight Arrow Connector 215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3" name="Group 206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04" name="Freeform 212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Straight Arrow Connector 21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06" name="Straight Connector 207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7" name="Straight Connector 208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Straight Connector 209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Straight Connector 210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Straight Connector 211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11" name="Straight Connector 197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Freeform 198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Straight Arrow Connector 199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Rectangle 200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Rectangle 201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Straight Arrow Connector 202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Freeform 203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46</xdr:row>
      <xdr:rowOff>19050</xdr:rowOff>
    </xdr:from>
    <xdr:to>
      <xdr:col>20</xdr:col>
      <xdr:colOff>219075</xdr:colOff>
      <xdr:row>46</xdr:row>
      <xdr:rowOff>104775</xdr:rowOff>
    </xdr:to>
    <xdr:sp>
      <xdr:nvSpPr>
        <xdr:cNvPr id="118" name="Straight Arrow Connector 218"/>
        <xdr:cNvSpPr>
          <a:spLocks/>
        </xdr:cNvSpPr>
      </xdr:nvSpPr>
      <xdr:spPr>
        <a:xfrm>
          <a:off x="12563475" y="89154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51</xdr:row>
      <xdr:rowOff>180975</xdr:rowOff>
    </xdr:from>
    <xdr:to>
      <xdr:col>20</xdr:col>
      <xdr:colOff>209550</xdr:colOff>
      <xdr:row>52</xdr:row>
      <xdr:rowOff>76200</xdr:rowOff>
    </xdr:to>
    <xdr:sp>
      <xdr:nvSpPr>
        <xdr:cNvPr id="119" name="Straight Arrow Connector 219"/>
        <xdr:cNvSpPr>
          <a:spLocks/>
        </xdr:cNvSpPr>
      </xdr:nvSpPr>
      <xdr:spPr>
        <a:xfrm>
          <a:off x="12553950" y="1004887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790575</xdr:colOff>
      <xdr:row>52</xdr:row>
      <xdr:rowOff>9525</xdr:rowOff>
    </xdr:from>
    <xdr:to>
      <xdr:col>23</xdr:col>
      <xdr:colOff>133350</xdr:colOff>
      <xdr:row>52</xdr:row>
      <xdr:rowOff>95250</xdr:rowOff>
    </xdr:to>
    <xdr:sp>
      <xdr:nvSpPr>
        <xdr:cNvPr id="120" name="Straight Arrow Connector 220"/>
        <xdr:cNvSpPr>
          <a:spLocks/>
        </xdr:cNvSpPr>
      </xdr:nvSpPr>
      <xdr:spPr>
        <a:xfrm>
          <a:off x="14497050" y="1006792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590550</xdr:colOff>
      <xdr:row>58</xdr:row>
      <xdr:rowOff>95250</xdr:rowOff>
    </xdr:from>
    <xdr:to>
      <xdr:col>20</xdr:col>
      <xdr:colOff>171450</xdr:colOff>
      <xdr:row>59</xdr:row>
      <xdr:rowOff>0</xdr:rowOff>
    </xdr:to>
    <xdr:sp>
      <xdr:nvSpPr>
        <xdr:cNvPr id="121" name="Straight Arrow Connector 221"/>
        <xdr:cNvSpPr>
          <a:spLocks/>
        </xdr:cNvSpPr>
      </xdr:nvSpPr>
      <xdr:spPr>
        <a:xfrm flipV="1">
          <a:off x="12468225" y="11296650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58</xdr:row>
      <xdr:rowOff>76200</xdr:rowOff>
    </xdr:from>
    <xdr:to>
      <xdr:col>23</xdr:col>
      <xdr:colOff>200025</xdr:colOff>
      <xdr:row>58</xdr:row>
      <xdr:rowOff>171450</xdr:rowOff>
    </xdr:to>
    <xdr:sp>
      <xdr:nvSpPr>
        <xdr:cNvPr id="122" name="Straight Arrow Connector 222"/>
        <xdr:cNvSpPr>
          <a:spLocks/>
        </xdr:cNvSpPr>
      </xdr:nvSpPr>
      <xdr:spPr>
        <a:xfrm flipV="1">
          <a:off x="14516100" y="11277600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438150</xdr:colOff>
      <xdr:row>51</xdr:row>
      <xdr:rowOff>180975</xdr:rowOff>
    </xdr:from>
    <xdr:to>
      <xdr:col>26</xdr:col>
      <xdr:colOff>0</xdr:colOff>
      <xdr:row>52</xdr:row>
      <xdr:rowOff>66675</xdr:rowOff>
    </xdr:to>
    <xdr:sp>
      <xdr:nvSpPr>
        <xdr:cNvPr id="123" name="Straight Arrow Connector 223"/>
        <xdr:cNvSpPr>
          <a:spLocks/>
        </xdr:cNvSpPr>
      </xdr:nvSpPr>
      <xdr:spPr>
        <a:xfrm flipH="1">
          <a:off x="16163925" y="10048875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447675</xdr:colOff>
      <xdr:row>46</xdr:row>
      <xdr:rowOff>9525</xdr:rowOff>
    </xdr:from>
    <xdr:to>
      <xdr:col>26</xdr:col>
      <xdr:colOff>9525</xdr:colOff>
      <xdr:row>46</xdr:row>
      <xdr:rowOff>85725</xdr:rowOff>
    </xdr:to>
    <xdr:sp>
      <xdr:nvSpPr>
        <xdr:cNvPr id="124" name="Straight Arrow Connector 224"/>
        <xdr:cNvSpPr>
          <a:spLocks/>
        </xdr:cNvSpPr>
      </xdr:nvSpPr>
      <xdr:spPr>
        <a:xfrm flipH="1">
          <a:off x="16173450" y="8905875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495300</xdr:colOff>
      <xdr:row>58</xdr:row>
      <xdr:rowOff>95250</xdr:rowOff>
    </xdr:from>
    <xdr:to>
      <xdr:col>26</xdr:col>
      <xdr:colOff>9525</xdr:colOff>
      <xdr:row>58</xdr:row>
      <xdr:rowOff>180975</xdr:rowOff>
    </xdr:to>
    <xdr:sp>
      <xdr:nvSpPr>
        <xdr:cNvPr id="125" name="Straight Arrow Connector 225"/>
        <xdr:cNvSpPr>
          <a:spLocks/>
        </xdr:cNvSpPr>
      </xdr:nvSpPr>
      <xdr:spPr>
        <a:xfrm flipH="1" flipV="1">
          <a:off x="16221075" y="11296650"/>
          <a:ext cx="1238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266700</xdr:colOff>
      <xdr:row>59</xdr:row>
      <xdr:rowOff>0</xdr:rowOff>
    </xdr:from>
    <xdr:to>
      <xdr:col>24</xdr:col>
      <xdr:colOff>523875</xdr:colOff>
      <xdr:row>59</xdr:row>
      <xdr:rowOff>0</xdr:rowOff>
    </xdr:to>
    <xdr:sp>
      <xdr:nvSpPr>
        <xdr:cNvPr id="126" name="Straight Arrow Connector 226"/>
        <xdr:cNvSpPr>
          <a:spLocks/>
        </xdr:cNvSpPr>
      </xdr:nvSpPr>
      <xdr:spPr>
        <a:xfrm>
          <a:off x="15382875" y="113919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171450</xdr:rowOff>
    </xdr:from>
    <xdr:to>
      <xdr:col>26</xdr:col>
      <xdr:colOff>0</xdr:colOff>
      <xdr:row>56</xdr:row>
      <xdr:rowOff>38100</xdr:rowOff>
    </xdr:to>
    <xdr:sp>
      <xdr:nvSpPr>
        <xdr:cNvPr id="127" name="Straight Arrow Connector 227"/>
        <xdr:cNvSpPr>
          <a:spLocks/>
        </xdr:cNvSpPr>
      </xdr:nvSpPr>
      <xdr:spPr>
        <a:xfrm flipH="1">
          <a:off x="16335375" y="106108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390525</xdr:colOff>
      <xdr:row>46</xdr:row>
      <xdr:rowOff>0</xdr:rowOff>
    </xdr:from>
    <xdr:to>
      <xdr:col>23</xdr:col>
      <xdr:colOff>38100</xdr:colOff>
      <xdr:row>46</xdr:row>
      <xdr:rowOff>0</xdr:rowOff>
    </xdr:to>
    <xdr:sp>
      <xdr:nvSpPr>
        <xdr:cNvPr id="128" name="Straight Arrow Connector 228"/>
        <xdr:cNvSpPr>
          <a:spLocks/>
        </xdr:cNvSpPr>
      </xdr:nvSpPr>
      <xdr:spPr>
        <a:xfrm>
          <a:off x="14097000" y="8896350"/>
          <a:ext cx="4476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209550</xdr:colOff>
      <xdr:row>52</xdr:row>
      <xdr:rowOff>0</xdr:rowOff>
    </xdr:from>
    <xdr:to>
      <xdr:col>21</xdr:col>
      <xdr:colOff>466725</xdr:colOff>
      <xdr:row>52</xdr:row>
      <xdr:rowOff>0</xdr:rowOff>
    </xdr:to>
    <xdr:sp>
      <xdr:nvSpPr>
        <xdr:cNvPr id="129" name="Straight Arrow Connector 229"/>
        <xdr:cNvSpPr>
          <a:spLocks/>
        </xdr:cNvSpPr>
      </xdr:nvSpPr>
      <xdr:spPr>
        <a:xfrm>
          <a:off x="13306425" y="100584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600075</xdr:colOff>
      <xdr:row>49</xdr:row>
      <xdr:rowOff>19050</xdr:rowOff>
    </xdr:from>
    <xdr:to>
      <xdr:col>25</xdr:col>
      <xdr:colOff>600075</xdr:colOff>
      <xdr:row>50</xdr:row>
      <xdr:rowOff>76200</xdr:rowOff>
    </xdr:to>
    <xdr:sp>
      <xdr:nvSpPr>
        <xdr:cNvPr id="130" name="Straight Arrow Connector 230"/>
        <xdr:cNvSpPr>
          <a:spLocks/>
        </xdr:cNvSpPr>
      </xdr:nvSpPr>
      <xdr:spPr>
        <a:xfrm flipH="1">
          <a:off x="16325850" y="9496425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171450</xdr:colOff>
      <xdr:row>52</xdr:row>
      <xdr:rowOff>9525</xdr:rowOff>
    </xdr:from>
    <xdr:to>
      <xdr:col>24</xdr:col>
      <xdr:colOff>428625</xdr:colOff>
      <xdr:row>52</xdr:row>
      <xdr:rowOff>9525</xdr:rowOff>
    </xdr:to>
    <xdr:sp>
      <xdr:nvSpPr>
        <xdr:cNvPr id="131" name="Straight Arrow Connector 231"/>
        <xdr:cNvSpPr>
          <a:spLocks/>
        </xdr:cNvSpPr>
      </xdr:nvSpPr>
      <xdr:spPr>
        <a:xfrm>
          <a:off x="15287625" y="100679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59</xdr:row>
      <xdr:rowOff>9525</xdr:rowOff>
    </xdr:from>
    <xdr:to>
      <xdr:col>21</xdr:col>
      <xdr:colOff>523875</xdr:colOff>
      <xdr:row>59</xdr:row>
      <xdr:rowOff>9525</xdr:rowOff>
    </xdr:to>
    <xdr:sp>
      <xdr:nvSpPr>
        <xdr:cNvPr id="132" name="Straight Arrow Connector 232"/>
        <xdr:cNvSpPr>
          <a:spLocks/>
        </xdr:cNvSpPr>
      </xdr:nvSpPr>
      <xdr:spPr>
        <a:xfrm>
          <a:off x="13363575" y="114014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142875</xdr:rowOff>
    </xdr:from>
    <xdr:to>
      <xdr:col>23</xdr:col>
      <xdr:colOff>0</xdr:colOff>
      <xdr:row>55</xdr:row>
      <xdr:rowOff>9525</xdr:rowOff>
    </xdr:to>
    <xdr:sp>
      <xdr:nvSpPr>
        <xdr:cNvPr id="133" name="Straight Arrow Connector 233"/>
        <xdr:cNvSpPr>
          <a:spLocks/>
        </xdr:cNvSpPr>
      </xdr:nvSpPr>
      <xdr:spPr>
        <a:xfrm flipH="1">
          <a:off x="14506575" y="103917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142875</xdr:rowOff>
    </xdr:from>
    <xdr:to>
      <xdr:col>20</xdr:col>
      <xdr:colOff>0</xdr:colOff>
      <xdr:row>56</xdr:row>
      <xdr:rowOff>9525</xdr:rowOff>
    </xdr:to>
    <xdr:sp>
      <xdr:nvSpPr>
        <xdr:cNvPr id="134" name="Straight Arrow Connector 234"/>
        <xdr:cNvSpPr>
          <a:spLocks/>
        </xdr:cNvSpPr>
      </xdr:nvSpPr>
      <xdr:spPr>
        <a:xfrm flipH="1">
          <a:off x="12487275" y="105822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95250</xdr:rowOff>
    </xdr:from>
    <xdr:to>
      <xdr:col>20</xdr:col>
      <xdr:colOff>9525</xdr:colOff>
      <xdr:row>49</xdr:row>
      <xdr:rowOff>152400</xdr:rowOff>
    </xdr:to>
    <xdr:sp>
      <xdr:nvSpPr>
        <xdr:cNvPr id="135" name="Straight Arrow Connector 235"/>
        <xdr:cNvSpPr>
          <a:spLocks/>
        </xdr:cNvSpPr>
      </xdr:nvSpPr>
      <xdr:spPr>
        <a:xfrm flipH="1">
          <a:off x="12496800" y="9372600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62</xdr:row>
      <xdr:rowOff>66675</xdr:rowOff>
    </xdr:from>
    <xdr:to>
      <xdr:col>7</xdr:col>
      <xdr:colOff>552450</xdr:colOff>
      <xdr:row>72</xdr:row>
      <xdr:rowOff>9525</xdr:rowOff>
    </xdr:to>
    <xdr:pic>
      <xdr:nvPicPr>
        <xdr:cNvPr id="136" name="Picture 2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2030075"/>
          <a:ext cx="39338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63</xdr:row>
      <xdr:rowOff>9525</xdr:rowOff>
    </xdr:from>
    <xdr:to>
      <xdr:col>25</xdr:col>
      <xdr:colOff>9525</xdr:colOff>
      <xdr:row>73</xdr:row>
      <xdr:rowOff>95250</xdr:rowOff>
    </xdr:to>
    <xdr:pic>
      <xdr:nvPicPr>
        <xdr:cNvPr id="137" name="Picture 2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92075" y="12163425"/>
          <a:ext cx="2943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514350</xdr:colOff>
      <xdr:row>117</xdr:row>
      <xdr:rowOff>180975</xdr:rowOff>
    </xdr:from>
    <xdr:to>
      <xdr:col>24</xdr:col>
      <xdr:colOff>523875</xdr:colOff>
      <xdr:row>132</xdr:row>
      <xdr:rowOff>9525</xdr:rowOff>
    </xdr:to>
    <xdr:grpSp>
      <xdr:nvGrpSpPr>
        <xdr:cNvPr id="138" name="Group 239"/>
        <xdr:cNvGrpSpPr>
          <a:grpSpLocks/>
        </xdr:cNvGrpSpPr>
      </xdr:nvGrpSpPr>
      <xdr:grpSpPr>
        <a:xfrm>
          <a:off x="11172825" y="22831425"/>
          <a:ext cx="4467225" cy="27051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139" name="Group 240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140" name="Group 248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41" name="Freeform 260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2" name="Straight Arrow Connector 261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3" name="Group 249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44" name="Freeform 258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5" name="Straight Arrow Connector 259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6" name="Group 250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47" name="Freeform 25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8" name="Straight Arrow Connector 25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49" name="Straight Connector 251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0" name="Straight Connector 252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1" name="Straight Connector 253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2" name="Straight Connector 254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3" name="Straight Connector 255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4" name="Straight Connector 241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Freeform 242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6" name="Straight Arrow Connector 243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7" name="Rectangle 244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8" name="Rectangle 245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9" name="Straight Arrow Connector 246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0" name="Freeform 247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119</xdr:row>
      <xdr:rowOff>19050</xdr:rowOff>
    </xdr:from>
    <xdr:to>
      <xdr:col>19</xdr:col>
      <xdr:colOff>76200</xdr:colOff>
      <xdr:row>119</xdr:row>
      <xdr:rowOff>104775</xdr:rowOff>
    </xdr:to>
    <xdr:sp>
      <xdr:nvSpPr>
        <xdr:cNvPr id="161" name="Straight Arrow Connector 262"/>
        <xdr:cNvSpPr>
          <a:spLocks/>
        </xdr:cNvSpPr>
      </xdr:nvSpPr>
      <xdr:spPr>
        <a:xfrm>
          <a:off x="11811000" y="230505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125</xdr:row>
      <xdr:rowOff>9525</xdr:rowOff>
    </xdr:from>
    <xdr:to>
      <xdr:col>19</xdr:col>
      <xdr:colOff>76200</xdr:colOff>
      <xdr:row>125</xdr:row>
      <xdr:rowOff>95250</xdr:rowOff>
    </xdr:to>
    <xdr:sp>
      <xdr:nvSpPr>
        <xdr:cNvPr id="162" name="Straight Arrow Connector 263"/>
        <xdr:cNvSpPr>
          <a:spLocks/>
        </xdr:cNvSpPr>
      </xdr:nvSpPr>
      <xdr:spPr>
        <a:xfrm>
          <a:off x="11811000" y="241935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542925</xdr:colOff>
      <xdr:row>124</xdr:row>
      <xdr:rowOff>180975</xdr:rowOff>
    </xdr:from>
    <xdr:to>
      <xdr:col>22</xdr:col>
      <xdr:colOff>76200</xdr:colOff>
      <xdr:row>125</xdr:row>
      <xdr:rowOff>76200</xdr:rowOff>
    </xdr:to>
    <xdr:sp>
      <xdr:nvSpPr>
        <xdr:cNvPr id="163" name="Straight Arrow Connector 264"/>
        <xdr:cNvSpPr>
          <a:spLocks/>
        </xdr:cNvSpPr>
      </xdr:nvSpPr>
      <xdr:spPr>
        <a:xfrm>
          <a:off x="13639800" y="24164925"/>
          <a:ext cx="142875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131</xdr:row>
      <xdr:rowOff>104775</xdr:rowOff>
    </xdr:from>
    <xdr:to>
      <xdr:col>19</xdr:col>
      <xdr:colOff>123825</xdr:colOff>
      <xdr:row>132</xdr:row>
      <xdr:rowOff>9525</xdr:rowOff>
    </xdr:to>
    <xdr:sp>
      <xdr:nvSpPr>
        <xdr:cNvPr id="164" name="Straight Arrow Connector 265"/>
        <xdr:cNvSpPr>
          <a:spLocks/>
        </xdr:cNvSpPr>
      </xdr:nvSpPr>
      <xdr:spPr>
        <a:xfrm flipV="1">
          <a:off x="11811000" y="2544127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561975</xdr:colOff>
      <xdr:row>131</xdr:row>
      <xdr:rowOff>76200</xdr:rowOff>
    </xdr:from>
    <xdr:to>
      <xdr:col>22</xdr:col>
      <xdr:colOff>142875</xdr:colOff>
      <xdr:row>131</xdr:row>
      <xdr:rowOff>171450</xdr:rowOff>
    </xdr:to>
    <xdr:sp>
      <xdr:nvSpPr>
        <xdr:cNvPr id="165" name="Straight Arrow Connector 266"/>
        <xdr:cNvSpPr>
          <a:spLocks/>
        </xdr:cNvSpPr>
      </xdr:nvSpPr>
      <xdr:spPr>
        <a:xfrm flipV="1">
          <a:off x="13658850" y="25412700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352425</xdr:colOff>
      <xdr:row>124</xdr:row>
      <xdr:rowOff>180975</xdr:rowOff>
    </xdr:from>
    <xdr:to>
      <xdr:col>24</xdr:col>
      <xdr:colOff>523875</xdr:colOff>
      <xdr:row>125</xdr:row>
      <xdr:rowOff>66675</xdr:rowOff>
    </xdr:to>
    <xdr:sp>
      <xdr:nvSpPr>
        <xdr:cNvPr id="166" name="Straight Arrow Connector 267"/>
        <xdr:cNvSpPr>
          <a:spLocks/>
        </xdr:cNvSpPr>
      </xdr:nvSpPr>
      <xdr:spPr>
        <a:xfrm flipH="1">
          <a:off x="15468600" y="24164925"/>
          <a:ext cx="171450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342900</xdr:colOff>
      <xdr:row>119</xdr:row>
      <xdr:rowOff>9525</xdr:rowOff>
    </xdr:from>
    <xdr:to>
      <xdr:col>24</xdr:col>
      <xdr:colOff>514350</xdr:colOff>
      <xdr:row>119</xdr:row>
      <xdr:rowOff>85725</xdr:rowOff>
    </xdr:to>
    <xdr:sp>
      <xdr:nvSpPr>
        <xdr:cNvPr id="167" name="Straight Arrow Connector 268"/>
        <xdr:cNvSpPr>
          <a:spLocks/>
        </xdr:cNvSpPr>
      </xdr:nvSpPr>
      <xdr:spPr>
        <a:xfrm flipH="1">
          <a:off x="15459075" y="23040975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390525</xdr:colOff>
      <xdr:row>131</xdr:row>
      <xdr:rowOff>66675</xdr:rowOff>
    </xdr:from>
    <xdr:to>
      <xdr:col>24</xdr:col>
      <xdr:colOff>514350</xdr:colOff>
      <xdr:row>131</xdr:row>
      <xdr:rowOff>152400</xdr:rowOff>
    </xdr:to>
    <xdr:sp>
      <xdr:nvSpPr>
        <xdr:cNvPr id="168" name="Straight Arrow Connector 269"/>
        <xdr:cNvSpPr>
          <a:spLocks/>
        </xdr:cNvSpPr>
      </xdr:nvSpPr>
      <xdr:spPr>
        <a:xfrm flipH="1" flipV="1">
          <a:off x="15506700" y="25403175"/>
          <a:ext cx="1238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266700</xdr:colOff>
      <xdr:row>132</xdr:row>
      <xdr:rowOff>0</xdr:rowOff>
    </xdr:from>
    <xdr:to>
      <xdr:col>23</xdr:col>
      <xdr:colOff>523875</xdr:colOff>
      <xdr:row>132</xdr:row>
      <xdr:rowOff>0</xdr:rowOff>
    </xdr:to>
    <xdr:sp>
      <xdr:nvSpPr>
        <xdr:cNvPr id="169" name="Straight Arrow Connector 270"/>
        <xdr:cNvSpPr>
          <a:spLocks/>
        </xdr:cNvSpPr>
      </xdr:nvSpPr>
      <xdr:spPr>
        <a:xfrm>
          <a:off x="14773275" y="255270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127</xdr:row>
      <xdr:rowOff>171450</xdr:rowOff>
    </xdr:from>
    <xdr:to>
      <xdr:col>25</xdr:col>
      <xdr:colOff>0</xdr:colOff>
      <xdr:row>129</xdr:row>
      <xdr:rowOff>38100</xdr:rowOff>
    </xdr:to>
    <xdr:sp>
      <xdr:nvSpPr>
        <xdr:cNvPr id="170" name="Straight Arrow Connector 271"/>
        <xdr:cNvSpPr>
          <a:spLocks/>
        </xdr:cNvSpPr>
      </xdr:nvSpPr>
      <xdr:spPr>
        <a:xfrm flipH="1">
          <a:off x="15725775" y="247459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390525</xdr:colOff>
      <xdr:row>119</xdr:row>
      <xdr:rowOff>0</xdr:rowOff>
    </xdr:from>
    <xdr:to>
      <xdr:col>22</xdr:col>
      <xdr:colOff>38100</xdr:colOff>
      <xdr:row>119</xdr:row>
      <xdr:rowOff>0</xdr:rowOff>
    </xdr:to>
    <xdr:sp>
      <xdr:nvSpPr>
        <xdr:cNvPr id="171" name="Straight Arrow Connector 272"/>
        <xdr:cNvSpPr>
          <a:spLocks/>
        </xdr:cNvSpPr>
      </xdr:nvSpPr>
      <xdr:spPr>
        <a:xfrm>
          <a:off x="13487400" y="230314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209550</xdr:colOff>
      <xdr:row>125</xdr:row>
      <xdr:rowOff>0</xdr:rowOff>
    </xdr:from>
    <xdr:to>
      <xdr:col>20</xdr:col>
      <xdr:colOff>466725</xdr:colOff>
      <xdr:row>125</xdr:row>
      <xdr:rowOff>0</xdr:rowOff>
    </xdr:to>
    <xdr:sp>
      <xdr:nvSpPr>
        <xdr:cNvPr id="172" name="Straight Arrow Connector 273"/>
        <xdr:cNvSpPr>
          <a:spLocks/>
        </xdr:cNvSpPr>
      </xdr:nvSpPr>
      <xdr:spPr>
        <a:xfrm>
          <a:off x="12696825" y="241839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600075</xdr:colOff>
      <xdr:row>122</xdr:row>
      <xdr:rowOff>19050</xdr:rowOff>
    </xdr:from>
    <xdr:to>
      <xdr:col>24</xdr:col>
      <xdr:colOff>600075</xdr:colOff>
      <xdr:row>123</xdr:row>
      <xdr:rowOff>76200</xdr:rowOff>
    </xdr:to>
    <xdr:sp>
      <xdr:nvSpPr>
        <xdr:cNvPr id="173" name="Straight Arrow Connector 274"/>
        <xdr:cNvSpPr>
          <a:spLocks/>
        </xdr:cNvSpPr>
      </xdr:nvSpPr>
      <xdr:spPr>
        <a:xfrm flipH="1">
          <a:off x="15716250" y="236220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125</xdr:row>
      <xdr:rowOff>9525</xdr:rowOff>
    </xdr:from>
    <xdr:to>
      <xdr:col>23</xdr:col>
      <xdr:colOff>428625</xdr:colOff>
      <xdr:row>125</xdr:row>
      <xdr:rowOff>9525</xdr:rowOff>
    </xdr:to>
    <xdr:sp>
      <xdr:nvSpPr>
        <xdr:cNvPr id="174" name="Straight Arrow Connector 275"/>
        <xdr:cNvSpPr>
          <a:spLocks/>
        </xdr:cNvSpPr>
      </xdr:nvSpPr>
      <xdr:spPr>
        <a:xfrm>
          <a:off x="14678025" y="241935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266700</xdr:colOff>
      <xdr:row>132</xdr:row>
      <xdr:rowOff>9525</xdr:rowOff>
    </xdr:from>
    <xdr:to>
      <xdr:col>20</xdr:col>
      <xdr:colOff>523875</xdr:colOff>
      <xdr:row>132</xdr:row>
      <xdr:rowOff>9525</xdr:rowOff>
    </xdr:to>
    <xdr:sp>
      <xdr:nvSpPr>
        <xdr:cNvPr id="175" name="Straight Arrow Connector 276"/>
        <xdr:cNvSpPr>
          <a:spLocks/>
        </xdr:cNvSpPr>
      </xdr:nvSpPr>
      <xdr:spPr>
        <a:xfrm>
          <a:off x="12753975" y="255365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126</xdr:row>
      <xdr:rowOff>142875</xdr:rowOff>
    </xdr:from>
    <xdr:to>
      <xdr:col>22</xdr:col>
      <xdr:colOff>0</xdr:colOff>
      <xdr:row>128</xdr:row>
      <xdr:rowOff>9525</xdr:rowOff>
    </xdr:to>
    <xdr:sp>
      <xdr:nvSpPr>
        <xdr:cNvPr id="176" name="Straight Arrow Connector 277"/>
        <xdr:cNvSpPr>
          <a:spLocks/>
        </xdr:cNvSpPr>
      </xdr:nvSpPr>
      <xdr:spPr>
        <a:xfrm flipH="1">
          <a:off x="13706475" y="245268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127</xdr:row>
      <xdr:rowOff>142875</xdr:rowOff>
    </xdr:from>
    <xdr:to>
      <xdr:col>19</xdr:col>
      <xdr:colOff>0</xdr:colOff>
      <xdr:row>129</xdr:row>
      <xdr:rowOff>9525</xdr:rowOff>
    </xdr:to>
    <xdr:sp>
      <xdr:nvSpPr>
        <xdr:cNvPr id="177" name="Straight Arrow Connector 278"/>
        <xdr:cNvSpPr>
          <a:spLocks/>
        </xdr:cNvSpPr>
      </xdr:nvSpPr>
      <xdr:spPr>
        <a:xfrm flipH="1">
          <a:off x="11877675" y="247173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121</xdr:row>
      <xdr:rowOff>95250</xdr:rowOff>
    </xdr:from>
    <xdr:to>
      <xdr:col>19</xdr:col>
      <xdr:colOff>9525</xdr:colOff>
      <xdr:row>122</xdr:row>
      <xdr:rowOff>152400</xdr:rowOff>
    </xdr:to>
    <xdr:sp>
      <xdr:nvSpPr>
        <xdr:cNvPr id="178" name="Straight Arrow Connector 279"/>
        <xdr:cNvSpPr>
          <a:spLocks/>
        </xdr:cNvSpPr>
      </xdr:nvSpPr>
      <xdr:spPr>
        <a:xfrm flipH="1">
          <a:off x="11887200" y="235077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191</xdr:row>
      <xdr:rowOff>9525</xdr:rowOff>
    </xdr:from>
    <xdr:to>
      <xdr:col>6</xdr:col>
      <xdr:colOff>342900</xdr:colOff>
      <xdr:row>191</xdr:row>
      <xdr:rowOff>9525</xdr:rowOff>
    </xdr:to>
    <xdr:sp>
      <xdr:nvSpPr>
        <xdr:cNvPr id="179" name="Straight Arrow Connector 3"/>
        <xdr:cNvSpPr>
          <a:spLocks/>
        </xdr:cNvSpPr>
      </xdr:nvSpPr>
      <xdr:spPr>
        <a:xfrm>
          <a:off x="3324225" y="36880800"/>
          <a:ext cx="3714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226</xdr:row>
      <xdr:rowOff>0</xdr:rowOff>
    </xdr:from>
    <xdr:to>
      <xdr:col>5</xdr:col>
      <xdr:colOff>371475</xdr:colOff>
      <xdr:row>226</xdr:row>
      <xdr:rowOff>0</xdr:rowOff>
    </xdr:to>
    <xdr:sp>
      <xdr:nvSpPr>
        <xdr:cNvPr id="180" name="Straight Arrow Connector 280"/>
        <xdr:cNvSpPr>
          <a:spLocks/>
        </xdr:cNvSpPr>
      </xdr:nvSpPr>
      <xdr:spPr>
        <a:xfrm>
          <a:off x="2743200" y="43729275"/>
          <a:ext cx="3714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pjUxSOCRVoo" TargetMode="External" /><Relationship Id="rId2" Type="http://schemas.openxmlformats.org/officeDocument/2006/relationships/hyperlink" Target="https://www.youtube.com/watch?v=t35MO1iMp4w" TargetMode="External" /><Relationship Id="rId3" Type="http://schemas.openxmlformats.org/officeDocument/2006/relationships/hyperlink" Target="https://www.youtube.com/watch?v=Tg4U3Pdzzo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39"/>
  <sheetViews>
    <sheetView showGridLines="0" tabSelected="1" zoomScalePageLayoutView="0" workbookViewId="0" topLeftCell="A178">
      <selection activeCell="J181" sqref="J181:K181"/>
    </sheetView>
  </sheetViews>
  <sheetFormatPr defaultColWidth="9.140625" defaultRowHeight="15"/>
  <cols>
    <col min="1" max="1" width="4.57421875" style="0" customWidth="1"/>
    <col min="8" max="8" width="12.28125" style="0" bestFit="1" customWidth="1"/>
    <col min="9" max="9" width="13.421875" style="0" bestFit="1" customWidth="1"/>
    <col min="10" max="10" width="10.7109375" style="0" bestFit="1" customWidth="1"/>
    <col min="23" max="23" width="12.00390625" style="0" bestFit="1" customWidth="1"/>
    <col min="28" max="28" width="9.140625" style="134" customWidth="1"/>
  </cols>
  <sheetData>
    <row r="1" ht="15.75" thickBot="1"/>
    <row r="2" spans="2:28" ht="15.75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135">
        <v>1</v>
      </c>
    </row>
    <row r="3" spans="2:28" ht="15">
      <c r="B3" s="26"/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36"/>
    </row>
    <row r="4" spans="2:28" ht="15">
      <c r="B4" s="26"/>
      <c r="C4" s="6"/>
      <c r="D4" t="s">
        <v>250</v>
      </c>
      <c r="E4" s="6"/>
      <c r="F4" s="6"/>
      <c r="G4" s="6"/>
      <c r="H4" s="6"/>
      <c r="I4" s="6"/>
      <c r="J4" s="6" t="s">
        <v>6</v>
      </c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136"/>
    </row>
    <row r="5" spans="2:28" ht="15">
      <c r="B5" s="26"/>
      <c r="C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6"/>
      <c r="W5" s="6"/>
      <c r="X5" s="6"/>
      <c r="Y5" s="6"/>
      <c r="Z5" s="6"/>
      <c r="AA5" s="6"/>
      <c r="AB5" s="136"/>
    </row>
    <row r="6" spans="2:28" ht="15">
      <c r="B6" s="26"/>
      <c r="C6" s="6" t="s">
        <v>210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6"/>
      <c r="S6" s="6"/>
      <c r="T6" s="6"/>
      <c r="V6" s="6"/>
      <c r="W6" s="6"/>
      <c r="X6" s="6"/>
      <c r="Y6" s="6"/>
      <c r="Z6" s="6"/>
      <c r="AA6" s="6"/>
      <c r="AB6" s="136"/>
    </row>
    <row r="7" spans="2:28" ht="15"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R7" s="6"/>
      <c r="S7" s="6"/>
      <c r="T7" s="6"/>
      <c r="V7" s="6"/>
      <c r="W7" s="6"/>
      <c r="X7" s="6"/>
      <c r="Y7" s="6"/>
      <c r="Z7" s="6"/>
      <c r="AA7" s="6"/>
      <c r="AB7" s="136"/>
    </row>
    <row r="8" spans="2:28" ht="15.75" thickBot="1">
      <c r="B8" s="26"/>
      <c r="C8" s="214"/>
      <c r="D8" s="6"/>
      <c r="E8" s="6"/>
      <c r="F8" s="6"/>
      <c r="G8" s="6"/>
      <c r="O8" s="6"/>
      <c r="V8" s="6"/>
      <c r="W8" s="6"/>
      <c r="X8" s="6"/>
      <c r="Y8" s="6"/>
      <c r="Z8" s="6"/>
      <c r="AA8" s="6"/>
      <c r="AB8" s="136"/>
    </row>
    <row r="9" spans="2:28" ht="15.75" thickTop="1">
      <c r="B9" s="26"/>
      <c r="C9" s="27"/>
      <c r="D9" s="205" t="s">
        <v>185</v>
      </c>
      <c r="E9" s="28"/>
      <c r="F9" s="28"/>
      <c r="G9" s="28"/>
      <c r="H9" s="31"/>
      <c r="J9" s="213" t="s">
        <v>202</v>
      </c>
      <c r="K9" s="28"/>
      <c r="L9" s="28"/>
      <c r="M9" s="31"/>
      <c r="O9" s="27"/>
      <c r="P9" s="205" t="s">
        <v>203</v>
      </c>
      <c r="Q9" s="28"/>
      <c r="R9" s="28"/>
      <c r="S9" s="28"/>
      <c r="T9" s="31"/>
      <c r="V9" s="6"/>
      <c r="W9" s="6"/>
      <c r="X9" s="6"/>
      <c r="Y9" s="6"/>
      <c r="Z9" s="6"/>
      <c r="AA9" s="6"/>
      <c r="AB9" s="136"/>
    </row>
    <row r="10" spans="2:28" ht="15">
      <c r="B10" s="26"/>
      <c r="C10" s="26"/>
      <c r="D10" s="6"/>
      <c r="E10" s="6" t="s">
        <v>215</v>
      </c>
      <c r="F10" s="6"/>
      <c r="G10" s="6"/>
      <c r="H10" s="32"/>
      <c r="J10" s="26" t="s">
        <v>214</v>
      </c>
      <c r="K10" s="6"/>
      <c r="L10" s="6"/>
      <c r="M10" s="32"/>
      <c r="O10" s="26"/>
      <c r="P10" s="6"/>
      <c r="Q10" s="6"/>
      <c r="R10" s="6"/>
      <c r="S10" s="6"/>
      <c r="T10" s="32"/>
      <c r="V10" s="6"/>
      <c r="W10" s="6"/>
      <c r="X10" s="6"/>
      <c r="Y10" s="6"/>
      <c r="Z10" s="6"/>
      <c r="AA10" s="6"/>
      <c r="AB10" s="136"/>
    </row>
    <row r="11" spans="2:28" ht="15">
      <c r="B11" s="26"/>
      <c r="C11" s="26"/>
      <c r="D11" s="101" t="s">
        <v>133</v>
      </c>
      <c r="E11" s="101" t="s">
        <v>134</v>
      </c>
      <c r="F11" s="101" t="s">
        <v>135</v>
      </c>
      <c r="G11" s="101" t="s">
        <v>136</v>
      </c>
      <c r="H11" s="32"/>
      <c r="J11" s="26" t="s">
        <v>217</v>
      </c>
      <c r="K11" s="6"/>
      <c r="L11" s="6"/>
      <c r="M11" s="32"/>
      <c r="O11" s="26"/>
      <c r="P11" s="6" t="s">
        <v>208</v>
      </c>
      <c r="Q11" s="6"/>
      <c r="R11" s="6"/>
      <c r="S11" s="6"/>
      <c r="T11" s="32"/>
      <c r="V11" s="6"/>
      <c r="W11" s="6"/>
      <c r="X11" s="6"/>
      <c r="Y11" s="6"/>
      <c r="Z11" s="6"/>
      <c r="AA11" s="6"/>
      <c r="AB11" s="136"/>
    </row>
    <row r="12" spans="2:28" ht="15">
      <c r="B12" s="26"/>
      <c r="C12" s="168" t="s">
        <v>177</v>
      </c>
      <c r="D12" s="70" t="s">
        <v>42</v>
      </c>
      <c r="E12" s="47">
        <v>-100</v>
      </c>
      <c r="F12" s="47">
        <v>1200</v>
      </c>
      <c r="G12" s="47">
        <v>250</v>
      </c>
      <c r="H12" s="32"/>
      <c r="J12" s="66" t="s">
        <v>20</v>
      </c>
      <c r="K12" s="13">
        <v>300</v>
      </c>
      <c r="L12" s="6" t="s">
        <v>2</v>
      </c>
      <c r="M12" s="32"/>
      <c r="O12" s="26"/>
      <c r="P12" s="6" t="s">
        <v>209</v>
      </c>
      <c r="Q12" s="6"/>
      <c r="R12" s="6"/>
      <c r="S12" s="6"/>
      <c r="T12" s="32"/>
      <c r="V12" s="6"/>
      <c r="W12" s="6"/>
      <c r="X12" s="6"/>
      <c r="Y12" s="6"/>
      <c r="Z12" s="6"/>
      <c r="AA12" s="6"/>
      <c r="AB12" s="136"/>
    </row>
    <row r="13" spans="2:28" ht="15">
      <c r="B13" s="26"/>
      <c r="C13" s="218">
        <v>1</v>
      </c>
      <c r="D13" s="44" t="s">
        <v>34</v>
      </c>
      <c r="E13" s="47">
        <v>1500</v>
      </c>
      <c r="F13" s="47">
        <v>1200</v>
      </c>
      <c r="G13" s="47">
        <v>100</v>
      </c>
      <c r="H13" s="32"/>
      <c r="J13" s="26"/>
      <c r="K13" s="6"/>
      <c r="L13" s="6"/>
      <c r="M13" s="32"/>
      <c r="O13" s="26"/>
      <c r="P13" s="6"/>
      <c r="Q13" s="6"/>
      <c r="R13" s="6"/>
      <c r="S13" s="6"/>
      <c r="T13" s="32"/>
      <c r="V13" s="6"/>
      <c r="W13" s="6"/>
      <c r="X13" s="6"/>
      <c r="Y13" s="6"/>
      <c r="Z13" s="6"/>
      <c r="AA13" s="6"/>
      <c r="AB13" s="136"/>
    </row>
    <row r="14" spans="2:28" ht="15">
      <c r="B14" s="26"/>
      <c r="C14" s="218">
        <v>2</v>
      </c>
      <c r="D14" s="44" t="s">
        <v>37</v>
      </c>
      <c r="E14" s="47">
        <v>1500</v>
      </c>
      <c r="F14" s="47">
        <v>800</v>
      </c>
      <c r="G14" s="47">
        <v>80</v>
      </c>
      <c r="H14" s="32"/>
      <c r="J14" s="26" t="s">
        <v>218</v>
      </c>
      <c r="K14" s="6"/>
      <c r="L14" s="6"/>
      <c r="M14" s="32"/>
      <c r="O14" s="26"/>
      <c r="P14" s="11" t="s">
        <v>85</v>
      </c>
      <c r="Q14" s="11" t="s">
        <v>86</v>
      </c>
      <c r="R14" s="11" t="s">
        <v>41</v>
      </c>
      <c r="S14" s="11" t="s">
        <v>87</v>
      </c>
      <c r="T14" s="32"/>
      <c r="V14" s="6"/>
      <c r="W14" s="6"/>
      <c r="X14" s="6"/>
      <c r="Y14" s="6"/>
      <c r="Z14" s="6"/>
      <c r="AA14" s="6"/>
      <c r="AB14" s="136"/>
    </row>
    <row r="15" spans="2:28" ht="15">
      <c r="B15" s="26"/>
      <c r="C15" s="218">
        <v>3</v>
      </c>
      <c r="D15" s="44" t="s">
        <v>40</v>
      </c>
      <c r="E15" s="47">
        <v>1500</v>
      </c>
      <c r="F15" s="47">
        <v>0</v>
      </c>
      <c r="G15" s="47">
        <v>135</v>
      </c>
      <c r="H15" s="32"/>
      <c r="J15" s="66" t="s">
        <v>7</v>
      </c>
      <c r="K15" s="13">
        <v>1140</v>
      </c>
      <c r="L15" s="6" t="s">
        <v>9</v>
      </c>
      <c r="M15" s="32"/>
      <c r="O15" s="26"/>
      <c r="P15" s="44" t="s">
        <v>80</v>
      </c>
      <c r="Q15" s="47">
        <v>8</v>
      </c>
      <c r="R15" s="47">
        <v>130</v>
      </c>
      <c r="S15" s="47">
        <v>1500</v>
      </c>
      <c r="T15" s="32"/>
      <c r="V15" s="6"/>
      <c r="W15" s="6"/>
      <c r="X15" s="6"/>
      <c r="Y15" s="6"/>
      <c r="Z15" s="6"/>
      <c r="AA15" s="6"/>
      <c r="AB15" s="136"/>
    </row>
    <row r="16" spans="2:28" ht="15">
      <c r="B16" s="26"/>
      <c r="C16" s="218">
        <v>4</v>
      </c>
      <c r="D16" s="44" t="s">
        <v>39</v>
      </c>
      <c r="E16" s="47">
        <v>750</v>
      </c>
      <c r="F16" s="47">
        <v>0</v>
      </c>
      <c r="G16" s="47">
        <v>80</v>
      </c>
      <c r="H16" s="32"/>
      <c r="J16" s="26"/>
      <c r="K16" s="6"/>
      <c r="L16" s="6"/>
      <c r="M16" s="32"/>
      <c r="O16" s="26"/>
      <c r="P16" s="44" t="s">
        <v>81</v>
      </c>
      <c r="Q16" s="47">
        <v>8</v>
      </c>
      <c r="R16" s="47">
        <v>130</v>
      </c>
      <c r="S16" s="47">
        <v>400</v>
      </c>
      <c r="T16" s="32"/>
      <c r="V16" s="6"/>
      <c r="W16" s="6"/>
      <c r="X16" s="6"/>
      <c r="Y16" s="6"/>
      <c r="Z16" s="6"/>
      <c r="AA16" s="6"/>
      <c r="AB16" s="136"/>
    </row>
    <row r="17" spans="2:28" ht="15">
      <c r="B17" s="26"/>
      <c r="C17" s="218">
        <v>5</v>
      </c>
      <c r="D17" s="44" t="s">
        <v>38</v>
      </c>
      <c r="E17" s="47">
        <v>0</v>
      </c>
      <c r="F17" s="47">
        <v>0</v>
      </c>
      <c r="G17" s="47">
        <v>140</v>
      </c>
      <c r="H17" s="32"/>
      <c r="J17" s="219" t="s">
        <v>19</v>
      </c>
      <c r="K17" s="11"/>
      <c r="L17" s="6"/>
      <c r="M17" s="32"/>
      <c r="O17" s="26"/>
      <c r="P17" s="44" t="s">
        <v>82</v>
      </c>
      <c r="Q17" s="47">
        <v>8</v>
      </c>
      <c r="R17" s="47">
        <v>130</v>
      </c>
      <c r="S17" s="47">
        <v>750</v>
      </c>
      <c r="T17" s="32"/>
      <c r="V17" s="6"/>
      <c r="W17" s="6"/>
      <c r="X17" s="6"/>
      <c r="Y17" s="6"/>
      <c r="Z17" s="6"/>
      <c r="AA17" s="6"/>
      <c r="AB17" s="136"/>
    </row>
    <row r="18" spans="2:28" ht="15">
      <c r="B18" s="26"/>
      <c r="C18" s="218">
        <v>6</v>
      </c>
      <c r="D18" s="44" t="s">
        <v>35</v>
      </c>
      <c r="E18" s="47">
        <v>0</v>
      </c>
      <c r="F18" s="47">
        <v>800</v>
      </c>
      <c r="G18" s="47">
        <v>80</v>
      </c>
      <c r="H18" s="32"/>
      <c r="J18" s="66" t="s">
        <v>21</v>
      </c>
      <c r="K18" s="49">
        <f>C20</f>
        <v>8</v>
      </c>
      <c r="L18" s="6" t="s">
        <v>248</v>
      </c>
      <c r="M18" s="32"/>
      <c r="O18" s="26"/>
      <c r="P18" s="44" t="s">
        <v>83</v>
      </c>
      <c r="Q18" s="47">
        <v>8</v>
      </c>
      <c r="R18" s="47">
        <v>130</v>
      </c>
      <c r="S18" s="47">
        <v>750</v>
      </c>
      <c r="T18" s="32"/>
      <c r="V18" s="6"/>
      <c r="W18" s="6"/>
      <c r="X18" s="6"/>
      <c r="Y18" s="6"/>
      <c r="Z18" s="6"/>
      <c r="AA18" s="6"/>
      <c r="AB18" s="136"/>
    </row>
    <row r="19" spans="2:28" ht="15">
      <c r="B19" s="26"/>
      <c r="C19" s="218">
        <v>7</v>
      </c>
      <c r="D19" s="44" t="s">
        <v>33</v>
      </c>
      <c r="E19" s="47">
        <v>0</v>
      </c>
      <c r="F19" s="47">
        <v>1200</v>
      </c>
      <c r="G19" s="47">
        <v>120</v>
      </c>
      <c r="H19" s="32"/>
      <c r="J19" s="26"/>
      <c r="K19" s="6"/>
      <c r="L19" s="6"/>
      <c r="M19" s="32"/>
      <c r="O19" s="26"/>
      <c r="P19" s="44" t="s">
        <v>84</v>
      </c>
      <c r="Q19" s="47">
        <v>8</v>
      </c>
      <c r="R19" s="47">
        <v>130</v>
      </c>
      <c r="S19" s="47">
        <v>400</v>
      </c>
      <c r="T19" s="32"/>
      <c r="V19" s="6"/>
      <c r="W19" s="6"/>
      <c r="X19" s="6"/>
      <c r="Y19" s="6"/>
      <c r="Z19" s="6"/>
      <c r="AA19" s="6"/>
      <c r="AB19" s="136"/>
    </row>
    <row r="20" spans="2:28" ht="15">
      <c r="B20" s="26"/>
      <c r="C20" s="218">
        <v>8</v>
      </c>
      <c r="D20" s="44" t="s">
        <v>36</v>
      </c>
      <c r="E20" s="47">
        <v>750</v>
      </c>
      <c r="F20" s="47">
        <v>800</v>
      </c>
      <c r="G20" s="47">
        <v>145</v>
      </c>
      <c r="H20" s="32"/>
      <c r="J20" s="219" t="s">
        <v>18</v>
      </c>
      <c r="K20" s="6"/>
      <c r="L20" s="6"/>
      <c r="M20" s="32"/>
      <c r="O20" s="26"/>
      <c r="P20" s="11"/>
      <c r="Q20" s="44" t="s">
        <v>0</v>
      </c>
      <c r="R20" s="44" t="s">
        <v>0</v>
      </c>
      <c r="S20" s="44" t="s">
        <v>0</v>
      </c>
      <c r="T20" s="32"/>
      <c r="V20" s="6"/>
      <c r="W20" s="6"/>
      <c r="X20" s="6"/>
      <c r="Y20" s="6"/>
      <c r="Z20" s="6"/>
      <c r="AA20" s="6"/>
      <c r="AB20" s="136"/>
    </row>
    <row r="21" spans="2:28" ht="15.75" thickBot="1">
      <c r="B21" s="26"/>
      <c r="C21" s="29"/>
      <c r="D21" s="30"/>
      <c r="E21" s="30"/>
      <c r="F21" s="30"/>
      <c r="G21" s="30"/>
      <c r="H21" s="33"/>
      <c r="J21" s="66" t="s">
        <v>16</v>
      </c>
      <c r="K21" s="13">
        <v>1.75</v>
      </c>
      <c r="L21" s="6" t="s">
        <v>2</v>
      </c>
      <c r="M21" s="32"/>
      <c r="O21" s="26"/>
      <c r="P21" s="44" t="s">
        <v>92</v>
      </c>
      <c r="Q21" s="47">
        <v>8</v>
      </c>
      <c r="R21" s="47">
        <v>130</v>
      </c>
      <c r="S21" s="47">
        <v>750</v>
      </c>
      <c r="T21" s="32"/>
      <c r="V21" s="6"/>
      <c r="W21" s="6"/>
      <c r="X21" s="6"/>
      <c r="Y21" s="6"/>
      <c r="Z21" s="6"/>
      <c r="AA21" s="6"/>
      <c r="AB21" s="136"/>
    </row>
    <row r="22" spans="2:28" ht="15.75" thickTop="1">
      <c r="B22" s="26"/>
      <c r="J22" s="26"/>
      <c r="K22" s="6"/>
      <c r="L22" s="6"/>
      <c r="M22" s="32"/>
      <c r="O22" s="26"/>
      <c r="P22" s="44" t="s">
        <v>93</v>
      </c>
      <c r="Q22" s="47">
        <v>8</v>
      </c>
      <c r="R22" s="47">
        <v>130</v>
      </c>
      <c r="S22" s="47">
        <v>800</v>
      </c>
      <c r="T22" s="32"/>
      <c r="V22" s="6"/>
      <c r="W22" s="6"/>
      <c r="X22" s="6"/>
      <c r="Y22" s="6"/>
      <c r="Z22" s="6"/>
      <c r="AA22" s="6"/>
      <c r="AB22" s="136"/>
    </row>
    <row r="23" spans="2:28" ht="15">
      <c r="B23" s="26"/>
      <c r="H23" s="6"/>
      <c r="J23" s="26" t="s">
        <v>216</v>
      </c>
      <c r="K23" s="6"/>
      <c r="L23" s="6"/>
      <c r="M23" s="32"/>
      <c r="O23" s="26"/>
      <c r="P23" s="44" t="s">
        <v>94</v>
      </c>
      <c r="Q23" s="47">
        <v>8</v>
      </c>
      <c r="R23" s="47">
        <v>130</v>
      </c>
      <c r="S23" s="47">
        <v>750</v>
      </c>
      <c r="T23" s="32"/>
      <c r="V23" s="6"/>
      <c r="W23" s="6"/>
      <c r="X23" s="6"/>
      <c r="Y23" s="6"/>
      <c r="Z23" s="6"/>
      <c r="AA23" s="6"/>
      <c r="AB23" s="136"/>
    </row>
    <row r="24" spans="2:28" ht="15">
      <c r="B24" s="26"/>
      <c r="J24" s="66" t="s">
        <v>31</v>
      </c>
      <c r="K24" s="13">
        <v>1750</v>
      </c>
      <c r="L24" s="6" t="s">
        <v>32</v>
      </c>
      <c r="M24" s="32"/>
      <c r="N24" s="6"/>
      <c r="O24" s="26"/>
      <c r="P24" s="44" t="s">
        <v>95</v>
      </c>
      <c r="Q24" s="47">
        <v>8</v>
      </c>
      <c r="R24" s="47">
        <v>130</v>
      </c>
      <c r="S24" s="47">
        <v>800</v>
      </c>
      <c r="T24" s="32"/>
      <c r="V24" s="6"/>
      <c r="W24" s="6"/>
      <c r="X24" s="6"/>
      <c r="Y24" s="6"/>
      <c r="Z24" s="6"/>
      <c r="AA24" s="6"/>
      <c r="AB24" s="136"/>
    </row>
    <row r="25" spans="2:28" ht="15.75" thickBot="1">
      <c r="B25" s="26"/>
      <c r="J25" s="29"/>
      <c r="K25" s="30"/>
      <c r="L25" s="30"/>
      <c r="M25" s="33"/>
      <c r="N25" s="6"/>
      <c r="O25" s="26"/>
      <c r="P25" s="11"/>
      <c r="Q25" s="44" t="s">
        <v>0</v>
      </c>
      <c r="R25" s="44" t="s">
        <v>0</v>
      </c>
      <c r="S25" s="44" t="s">
        <v>0</v>
      </c>
      <c r="T25" s="32"/>
      <c r="V25" s="6"/>
      <c r="AA25" s="6"/>
      <c r="AB25" s="136"/>
    </row>
    <row r="26" spans="2:28" ht="15.75" thickTop="1">
      <c r="B26" s="26"/>
      <c r="N26" s="6"/>
      <c r="O26" s="26"/>
      <c r="P26" s="44" t="s">
        <v>97</v>
      </c>
      <c r="Q26" s="47">
        <v>8</v>
      </c>
      <c r="R26" s="47">
        <v>130</v>
      </c>
      <c r="S26" s="47">
        <v>750</v>
      </c>
      <c r="T26" s="32"/>
      <c r="V26" s="6"/>
      <c r="AA26" s="6"/>
      <c r="AB26" s="136"/>
    </row>
    <row r="27" spans="2:28" ht="15">
      <c r="B27" s="26"/>
      <c r="N27" s="6"/>
      <c r="O27" s="26"/>
      <c r="P27" s="44" t="s">
        <v>98</v>
      </c>
      <c r="Q27" s="47">
        <v>8</v>
      </c>
      <c r="R27" s="47">
        <v>130</v>
      </c>
      <c r="S27" s="47">
        <v>800</v>
      </c>
      <c r="T27" s="32"/>
      <c r="V27" s="6"/>
      <c r="AA27" s="6"/>
      <c r="AB27" s="136"/>
    </row>
    <row r="28" spans="2:28" ht="15">
      <c r="B28" s="26"/>
      <c r="N28" s="6"/>
      <c r="O28" s="26"/>
      <c r="P28" s="44" t="s">
        <v>99</v>
      </c>
      <c r="Q28" s="47">
        <v>8</v>
      </c>
      <c r="R28" s="47">
        <v>130</v>
      </c>
      <c r="S28" s="47">
        <v>750</v>
      </c>
      <c r="T28" s="32"/>
      <c r="V28" s="6"/>
      <c r="AA28" s="6"/>
      <c r="AB28" s="136"/>
    </row>
    <row r="29" spans="2:28" ht="15">
      <c r="B29" s="26"/>
      <c r="N29" s="6"/>
      <c r="O29" s="26"/>
      <c r="P29" s="44" t="s">
        <v>100</v>
      </c>
      <c r="Q29" s="47">
        <v>8</v>
      </c>
      <c r="R29" s="47">
        <v>130</v>
      </c>
      <c r="S29" s="47">
        <v>800</v>
      </c>
      <c r="T29" s="32"/>
      <c r="V29" s="6"/>
      <c r="AA29" s="6"/>
      <c r="AB29" s="136"/>
    </row>
    <row r="30" spans="2:28" ht="15">
      <c r="B30" s="26"/>
      <c r="N30" s="6"/>
      <c r="O30" s="26"/>
      <c r="P30" s="11"/>
      <c r="Q30" s="11"/>
      <c r="R30" s="11"/>
      <c r="S30" s="11"/>
      <c r="T30" s="32"/>
      <c r="V30" s="6"/>
      <c r="AA30" s="6"/>
      <c r="AB30" s="136"/>
    </row>
    <row r="31" spans="2:28" ht="15">
      <c r="B31" s="26"/>
      <c r="C31" s="4"/>
      <c r="N31" s="6"/>
      <c r="O31" s="26"/>
      <c r="P31" s="70" t="s">
        <v>159</v>
      </c>
      <c r="Q31" s="47">
        <v>8</v>
      </c>
      <c r="R31" s="47">
        <v>130</v>
      </c>
      <c r="S31" s="47">
        <v>100</v>
      </c>
      <c r="T31" s="32"/>
      <c r="V31" s="6"/>
      <c r="AA31" s="6"/>
      <c r="AB31" s="136"/>
    </row>
    <row r="32" spans="2:28" ht="15.75" thickBot="1">
      <c r="B32" s="26"/>
      <c r="N32" s="6"/>
      <c r="O32" s="29"/>
      <c r="P32" s="30"/>
      <c r="Q32" s="30"/>
      <c r="R32" s="30"/>
      <c r="S32" s="30"/>
      <c r="T32" s="33"/>
      <c r="V32" s="6"/>
      <c r="AA32" s="6"/>
      <c r="AB32" s="136"/>
    </row>
    <row r="33" spans="2:28" ht="15.75" thickTop="1">
      <c r="B33" s="26"/>
      <c r="N33" s="6"/>
      <c r="O33" s="6"/>
      <c r="T33" s="6"/>
      <c r="V33" s="6"/>
      <c r="AA33" s="6"/>
      <c r="AB33" s="136"/>
    </row>
    <row r="34" spans="2:28" ht="15">
      <c r="B34" s="26"/>
      <c r="N34" s="6"/>
      <c r="O34" s="6"/>
      <c r="P34" t="s">
        <v>211</v>
      </c>
      <c r="T34" s="6"/>
      <c r="V34" s="6"/>
      <c r="AA34" s="6"/>
      <c r="AB34" s="136"/>
    </row>
    <row r="35" spans="2:28" ht="15">
      <c r="B35" s="26"/>
      <c r="I35" s="6"/>
      <c r="J35" s="6"/>
      <c r="K35" s="6"/>
      <c r="L35" s="6"/>
      <c r="M35" s="6"/>
      <c r="N35" s="6"/>
      <c r="O35" s="6"/>
      <c r="T35" s="6"/>
      <c r="U35" s="6"/>
      <c r="V35" s="6"/>
      <c r="AA35" s="6"/>
      <c r="AB35" s="136"/>
    </row>
    <row r="36" spans="2:28" ht="15.75" thickBo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137"/>
    </row>
    <row r="37" ht="15.75" thickTop="1"/>
    <row r="39" ht="15.75" thickBot="1"/>
    <row r="40" spans="2:28" ht="15.75" thickTop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35">
        <v>2</v>
      </c>
    </row>
    <row r="41" spans="2:28" ht="15">
      <c r="B41" s="26"/>
      <c r="C41" s="182" t="s">
        <v>219</v>
      </c>
      <c r="D41" s="6"/>
      <c r="E41" s="6"/>
      <c r="F41" s="6"/>
      <c r="G41" s="6"/>
      <c r="H41" s="6"/>
      <c r="I41" s="6"/>
      <c r="K41" s="6"/>
      <c r="L41" s="6"/>
      <c r="M41" s="6"/>
      <c r="N41" s="6"/>
      <c r="O41" s="6"/>
      <c r="P41" s="6"/>
      <c r="Q41" s="6"/>
      <c r="R41" s="6"/>
      <c r="S41" s="6"/>
      <c r="U41" s="6"/>
      <c r="V41" s="6"/>
      <c r="W41" s="6"/>
      <c r="X41" s="6"/>
      <c r="Y41" s="6"/>
      <c r="Z41" s="6"/>
      <c r="AA41" s="6"/>
      <c r="AB41" s="136"/>
    </row>
    <row r="42" spans="2:28" ht="15">
      <c r="B42" s="26"/>
      <c r="C42" s="6"/>
      <c r="D42" s="6"/>
      <c r="E42" s="6"/>
      <c r="F42" s="6"/>
      <c r="G42" s="6"/>
      <c r="H42" s="221"/>
      <c r="I42" s="221" t="s">
        <v>221</v>
      </c>
      <c r="J42" s="6"/>
      <c r="K42" s="6"/>
      <c r="L42" s="6"/>
      <c r="M42" s="6"/>
      <c r="N42" s="6"/>
      <c r="O42" s="6"/>
      <c r="P42" s="6"/>
      <c r="Q42" s="6"/>
      <c r="R42" s="6"/>
      <c r="S42" s="6"/>
      <c r="U42" s="6"/>
      <c r="V42" s="19" t="s">
        <v>0</v>
      </c>
      <c r="W42" s="11"/>
      <c r="X42" s="6"/>
      <c r="Y42" s="6"/>
      <c r="Z42" s="6"/>
      <c r="AA42" s="6"/>
      <c r="AB42" s="136"/>
    </row>
    <row r="43" spans="2:28" ht="15">
      <c r="B43" s="26"/>
      <c r="C43" s="6" t="s">
        <v>220</v>
      </c>
      <c r="D43" s="6"/>
      <c r="E43" s="6"/>
      <c r="F43" s="6"/>
      <c r="G43" s="6"/>
      <c r="H43" s="6"/>
      <c r="I43" s="6"/>
      <c r="T43" s="212" t="s">
        <v>234</v>
      </c>
      <c r="U43" s="6"/>
      <c r="X43" s="6"/>
      <c r="Y43" s="6"/>
      <c r="Z43" s="6"/>
      <c r="AA43" s="6"/>
      <c r="AB43" s="136"/>
    </row>
    <row r="44" spans="2:28" ht="15">
      <c r="B44" s="26"/>
      <c r="C44" s="6"/>
      <c r="D44" s="6"/>
      <c r="E44" s="6"/>
      <c r="F44" s="6"/>
      <c r="G44" s="6"/>
      <c r="H44" s="6"/>
      <c r="I44" s="6" t="s">
        <v>222</v>
      </c>
      <c r="J44" s="6"/>
      <c r="K44" s="6"/>
      <c r="L44" s="6"/>
      <c r="M44" s="6"/>
      <c r="N44" s="222" t="s">
        <v>232</v>
      </c>
      <c r="O44" s="6"/>
      <c r="P44" s="6"/>
      <c r="Q44" s="6"/>
      <c r="R44" s="6"/>
      <c r="T44" s="6" t="s">
        <v>233</v>
      </c>
      <c r="AB44" s="136"/>
    </row>
    <row r="45" spans="2:28" ht="15">
      <c r="B45" s="26"/>
      <c r="C45" s="6"/>
      <c r="D45" s="6"/>
      <c r="E45" s="6"/>
      <c r="F45" s="6"/>
      <c r="G45" s="6"/>
      <c r="H45" s="6"/>
      <c r="I45" s="6" t="s">
        <v>223</v>
      </c>
      <c r="J45" s="6"/>
      <c r="K45" s="6"/>
      <c r="L45" s="6"/>
      <c r="M45" s="6"/>
      <c r="N45" s="222" t="s">
        <v>30</v>
      </c>
      <c r="O45" s="6"/>
      <c r="P45" s="6"/>
      <c r="Q45" s="6"/>
      <c r="R45" s="6"/>
      <c r="AB45" s="136"/>
    </row>
    <row r="46" spans="2:28" ht="15"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 t="s">
        <v>31</v>
      </c>
      <c r="O46" s="11">
        <f>K24</f>
        <v>1750</v>
      </c>
      <c r="P46" s="6" t="s">
        <v>32</v>
      </c>
      <c r="Q46" s="6"/>
      <c r="R46" s="6"/>
      <c r="S46" s="6" t="s">
        <v>76</v>
      </c>
      <c r="T46" s="6"/>
      <c r="U46" s="7"/>
      <c r="V46" s="6"/>
      <c r="W46" s="8" t="s">
        <v>0</v>
      </c>
      <c r="X46" s="6"/>
      <c r="Y46" s="6"/>
      <c r="Z46" s="6"/>
      <c r="AA46" s="6"/>
      <c r="AB46" s="136"/>
    </row>
    <row r="47" spans="2:28" ht="15">
      <c r="B47" s="26"/>
      <c r="C47" s="6"/>
      <c r="D47" s="6"/>
      <c r="E47" s="6"/>
      <c r="F47" s="6"/>
      <c r="G47" s="6"/>
      <c r="H47" s="6"/>
      <c r="I47" s="6" t="s">
        <v>224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9" t="s">
        <v>33</v>
      </c>
      <c r="U47" s="10">
        <f>J69</f>
        <v>51.953125</v>
      </c>
      <c r="V47" s="11"/>
      <c r="W47" s="11"/>
      <c r="X47" s="11"/>
      <c r="Y47" s="11"/>
      <c r="Z47" s="10">
        <f>J69</f>
        <v>51.953125</v>
      </c>
      <c r="AA47" s="6" t="s">
        <v>34</v>
      </c>
      <c r="AB47" s="136"/>
    </row>
    <row r="48" spans="2:28" ht="15">
      <c r="B48" s="26"/>
      <c r="C48" s="6"/>
      <c r="D48" s="6"/>
      <c r="E48" s="6"/>
      <c r="F48" s="6"/>
      <c r="G48" s="6"/>
      <c r="H48" s="6"/>
      <c r="I48" s="11" t="s">
        <v>8</v>
      </c>
      <c r="J48" s="11" t="s">
        <v>22</v>
      </c>
      <c r="K48" s="6"/>
      <c r="L48" s="6"/>
      <c r="M48" s="6"/>
      <c r="N48" s="6"/>
      <c r="O48" s="6"/>
      <c r="P48" s="6"/>
      <c r="Q48" s="6"/>
      <c r="R48" s="6"/>
      <c r="S48" s="6"/>
      <c r="T48" s="9"/>
      <c r="U48" s="11"/>
      <c r="V48" s="11"/>
      <c r="W48" s="11"/>
      <c r="X48" s="11"/>
      <c r="Y48" s="11"/>
      <c r="Z48" s="11"/>
      <c r="AA48" s="6"/>
      <c r="AB48" s="136"/>
    </row>
    <row r="49" spans="2:28" ht="15.75" thickBot="1">
      <c r="B49" s="26"/>
      <c r="C49" s="6"/>
      <c r="D49" s="6"/>
      <c r="E49" s="6"/>
      <c r="F49" s="6"/>
      <c r="G49" s="6"/>
      <c r="H49" s="6"/>
      <c r="I49" s="49" t="s">
        <v>225</v>
      </c>
      <c r="J49" s="11">
        <f>K12</f>
        <v>300</v>
      </c>
      <c r="K49" s="6" t="s">
        <v>226</v>
      </c>
      <c r="L49" s="6"/>
      <c r="M49" s="6"/>
      <c r="N49" s="6" t="s">
        <v>230</v>
      </c>
      <c r="O49" s="6"/>
      <c r="P49" s="6"/>
      <c r="Q49" s="6"/>
      <c r="R49" s="6"/>
      <c r="S49" s="6"/>
      <c r="T49" s="12" t="s">
        <v>0</v>
      </c>
      <c r="U49" s="11"/>
      <c r="V49" s="11"/>
      <c r="W49" s="11"/>
      <c r="X49" s="11"/>
      <c r="Y49" s="11"/>
      <c r="Z49" s="11"/>
      <c r="AA49" s="6"/>
      <c r="AB49" s="136"/>
    </row>
    <row r="50" spans="2:28" ht="15.75" thickTop="1">
      <c r="B50" s="26"/>
      <c r="C50" s="6"/>
      <c r="D50" s="6"/>
      <c r="E50" s="6"/>
      <c r="F50" s="6"/>
      <c r="G50" s="6"/>
      <c r="H50" s="6"/>
      <c r="I50" s="49" t="s">
        <v>7</v>
      </c>
      <c r="J50" s="11">
        <f>K15</f>
        <v>1140</v>
      </c>
      <c r="K50" s="6" t="s">
        <v>9</v>
      </c>
      <c r="L50" s="6"/>
      <c r="M50" s="6"/>
      <c r="N50" s="213" t="s">
        <v>193</v>
      </c>
      <c r="O50" s="28"/>
      <c r="P50" s="28"/>
      <c r="Q50" s="31"/>
      <c r="R50" s="6"/>
      <c r="S50" s="6"/>
      <c r="T50" s="9"/>
      <c r="U50" s="11"/>
      <c r="V50" s="11"/>
      <c r="W50" s="11"/>
      <c r="X50" s="11"/>
      <c r="Y50" s="11"/>
      <c r="Z50" s="11"/>
      <c r="AA50" s="15" t="s">
        <v>0</v>
      </c>
      <c r="AB50" s="136"/>
    </row>
    <row r="51" spans="2:28" ht="15">
      <c r="B51" s="26"/>
      <c r="C51" s="6"/>
      <c r="D51" s="6"/>
      <c r="E51" s="6"/>
      <c r="F51" s="6"/>
      <c r="G51" s="6"/>
      <c r="H51" s="6"/>
      <c r="I51" s="11" t="s">
        <v>8</v>
      </c>
      <c r="J51" s="220">
        <f>K12*K15</f>
        <v>342000</v>
      </c>
      <c r="K51" s="6" t="s">
        <v>10</v>
      </c>
      <c r="L51" s="6"/>
      <c r="M51" s="6"/>
      <c r="N51" s="26" t="s">
        <v>194</v>
      </c>
      <c r="O51" s="6"/>
      <c r="P51" s="6"/>
      <c r="Q51" s="32"/>
      <c r="R51" s="6"/>
      <c r="S51" s="6"/>
      <c r="T51" s="9"/>
      <c r="U51" s="11"/>
      <c r="V51" s="11"/>
      <c r="W51" s="11"/>
      <c r="X51" s="11"/>
      <c r="Y51" s="11"/>
      <c r="Z51" s="11"/>
      <c r="AA51" s="6"/>
      <c r="AB51" s="136"/>
    </row>
    <row r="52" spans="2:28" ht="15">
      <c r="B52" s="26"/>
      <c r="C52" s="6"/>
      <c r="D52" s="6"/>
      <c r="E52" s="6"/>
      <c r="F52" s="6"/>
      <c r="G52" s="6"/>
      <c r="H52" s="6"/>
      <c r="I52" s="11"/>
      <c r="J52" s="6"/>
      <c r="K52" s="6"/>
      <c r="L52" s="6"/>
      <c r="M52" s="6"/>
      <c r="N52" s="66" t="s">
        <v>60</v>
      </c>
      <c r="O52" s="11" t="s">
        <v>24</v>
      </c>
      <c r="P52" s="22">
        <f aca="true" t="shared" si="0" ref="P52:P58">$J$69</f>
        <v>51.953125</v>
      </c>
      <c r="Q52" s="32" t="s">
        <v>32</v>
      </c>
      <c r="R52" s="6"/>
      <c r="S52" s="6"/>
      <c r="T52" s="9" t="s">
        <v>35</v>
      </c>
      <c r="U52" s="11"/>
      <c r="V52" s="17" t="s">
        <v>0</v>
      </c>
      <c r="W52" s="9" t="s">
        <v>36</v>
      </c>
      <c r="X52" s="6"/>
      <c r="Y52" s="18" t="s">
        <v>0</v>
      </c>
      <c r="Z52" s="11"/>
      <c r="AA52" s="6" t="s">
        <v>37</v>
      </c>
      <c r="AB52" s="136"/>
    </row>
    <row r="53" spans="2:28" ht="15">
      <c r="B53" s="26"/>
      <c r="C53" s="6"/>
      <c r="D53" s="6"/>
      <c r="E53" s="6"/>
      <c r="F53" s="6"/>
      <c r="G53" s="6"/>
      <c r="H53" s="6"/>
      <c r="I53" s="19" t="s">
        <v>12</v>
      </c>
      <c r="J53" s="6"/>
      <c r="K53" s="6"/>
      <c r="L53" s="6"/>
      <c r="M53" s="6"/>
      <c r="N53" s="66" t="s">
        <v>52</v>
      </c>
      <c r="O53" s="11" t="s">
        <v>24</v>
      </c>
      <c r="P53" s="22">
        <f t="shared" si="0"/>
        <v>51.953125</v>
      </c>
      <c r="Q53" s="32" t="s">
        <v>32</v>
      </c>
      <c r="R53" s="6"/>
      <c r="S53" s="6"/>
      <c r="T53" s="9" t="s">
        <v>0</v>
      </c>
      <c r="U53" s="10">
        <f>J69</f>
        <v>51.953125</v>
      </c>
      <c r="V53" s="11"/>
      <c r="W53" s="11"/>
      <c r="X53" s="10">
        <f>J69</f>
        <v>51.953125</v>
      </c>
      <c r="Y53" s="11"/>
      <c r="Z53" s="10">
        <f>J69</f>
        <v>51.953125</v>
      </c>
      <c r="AA53" s="6"/>
      <c r="AB53" s="136"/>
    </row>
    <row r="54" spans="2:28" ht="15">
      <c r="B54" s="26"/>
      <c r="C54" s="6"/>
      <c r="D54" s="6"/>
      <c r="E54" s="6"/>
      <c r="F54" s="6"/>
      <c r="G54" s="6"/>
      <c r="H54" s="6"/>
      <c r="I54" s="49" t="s">
        <v>13</v>
      </c>
      <c r="J54" t="s">
        <v>227</v>
      </c>
      <c r="M54" s="6"/>
      <c r="N54" s="66" t="s">
        <v>61</v>
      </c>
      <c r="O54" s="11" t="s">
        <v>24</v>
      </c>
      <c r="P54" s="22">
        <f t="shared" si="0"/>
        <v>51.953125</v>
      </c>
      <c r="Q54" s="32" t="s">
        <v>32</v>
      </c>
      <c r="R54" s="6"/>
      <c r="S54" s="6"/>
      <c r="T54" s="9"/>
      <c r="U54" s="11"/>
      <c r="V54" s="11"/>
      <c r="W54" s="11"/>
      <c r="X54" s="11"/>
      <c r="Y54" s="11"/>
      <c r="Z54" s="11"/>
      <c r="AA54" s="6"/>
      <c r="AB54" s="136"/>
    </row>
    <row r="55" spans="2:28" ht="15">
      <c r="B55" s="26"/>
      <c r="C55" s="6"/>
      <c r="D55" s="6"/>
      <c r="E55" s="6"/>
      <c r="F55" s="6"/>
      <c r="G55" s="6"/>
      <c r="H55" s="6"/>
      <c r="I55" s="11" t="s">
        <v>13</v>
      </c>
      <c r="J55" s="23">
        <f>J51/(24*60)</f>
        <v>237.5</v>
      </c>
      <c r="K55" s="6" t="s">
        <v>11</v>
      </c>
      <c r="L55" s="6"/>
      <c r="M55" s="6"/>
      <c r="N55" s="66" t="s">
        <v>62</v>
      </c>
      <c r="O55" s="11" t="s">
        <v>24</v>
      </c>
      <c r="P55" s="22">
        <f t="shared" si="0"/>
        <v>51.953125</v>
      </c>
      <c r="Q55" s="32" t="s">
        <v>32</v>
      </c>
      <c r="R55" s="6"/>
      <c r="S55" s="6"/>
      <c r="T55" s="12" t="s">
        <v>0</v>
      </c>
      <c r="U55" s="11"/>
      <c r="V55" s="11"/>
      <c r="W55" s="11"/>
      <c r="X55" s="20" t="s">
        <v>0</v>
      </c>
      <c r="Y55" s="11"/>
      <c r="Z55" s="11"/>
      <c r="AA55" s="6"/>
      <c r="AB55" s="136"/>
    </row>
    <row r="56" spans="2:28" ht="15">
      <c r="B56" s="26"/>
      <c r="C56" s="6"/>
      <c r="D56" s="6"/>
      <c r="E56" s="6"/>
      <c r="F56" s="6"/>
      <c r="G56" s="6"/>
      <c r="H56" s="6"/>
      <c r="I56" s="11"/>
      <c r="J56" s="6"/>
      <c r="K56" s="6"/>
      <c r="L56" s="6"/>
      <c r="M56" s="6"/>
      <c r="N56" s="66" t="s">
        <v>63</v>
      </c>
      <c r="O56" s="11" t="s">
        <v>24</v>
      </c>
      <c r="P56" s="22">
        <f t="shared" si="0"/>
        <v>51.953125</v>
      </c>
      <c r="Q56" s="32" t="s">
        <v>32</v>
      </c>
      <c r="R56" s="6"/>
      <c r="S56" s="6"/>
      <c r="T56" s="9"/>
      <c r="U56" s="11"/>
      <c r="V56" s="11"/>
      <c r="W56" s="11"/>
      <c r="X56" s="11"/>
      <c r="Y56" s="11"/>
      <c r="Z56" s="11"/>
      <c r="AA56" s="15" t="s">
        <v>0</v>
      </c>
      <c r="AB56" s="136"/>
    </row>
    <row r="57" spans="2:28" ht="15">
      <c r="B57" s="26"/>
      <c r="C57" s="6"/>
      <c r="D57" s="6"/>
      <c r="E57" s="6"/>
      <c r="F57" s="6"/>
      <c r="G57" s="6"/>
      <c r="H57" s="6"/>
      <c r="I57" s="19" t="s">
        <v>17</v>
      </c>
      <c r="J57" s="11"/>
      <c r="K57" s="6"/>
      <c r="L57" s="6"/>
      <c r="M57" s="6"/>
      <c r="N57" s="66" t="s">
        <v>57</v>
      </c>
      <c r="O57" s="11" t="s">
        <v>24</v>
      </c>
      <c r="P57" s="22">
        <f t="shared" si="0"/>
        <v>51.953125</v>
      </c>
      <c r="Q57" s="32" t="s">
        <v>32</v>
      </c>
      <c r="R57" s="6"/>
      <c r="S57" s="6"/>
      <c r="T57" s="9"/>
      <c r="U57" s="11"/>
      <c r="V57" s="11"/>
      <c r="W57" s="11"/>
      <c r="X57" s="11"/>
      <c r="Y57" s="11"/>
      <c r="Z57" s="11"/>
      <c r="AA57" s="6"/>
      <c r="AB57" s="136"/>
    </row>
    <row r="58" spans="2:28" ht="15">
      <c r="B58" s="26"/>
      <c r="C58" s="6"/>
      <c r="D58" s="6"/>
      <c r="E58" s="6"/>
      <c r="F58" s="6"/>
      <c r="G58" s="6"/>
      <c r="H58" s="6"/>
      <c r="I58" s="11" t="s">
        <v>14</v>
      </c>
      <c r="J58" s="6" t="s">
        <v>15</v>
      </c>
      <c r="K58" s="6"/>
      <c r="L58" s="6"/>
      <c r="M58" s="6"/>
      <c r="N58" s="66" t="s">
        <v>59</v>
      </c>
      <c r="O58" s="11" t="s">
        <v>24</v>
      </c>
      <c r="P58" s="22">
        <f t="shared" si="0"/>
        <v>51.953125</v>
      </c>
      <c r="Q58" s="32" t="s">
        <v>32</v>
      </c>
      <c r="R58" s="6"/>
      <c r="S58" s="6"/>
      <c r="U58" s="11"/>
      <c r="V58" s="11"/>
      <c r="W58" s="11"/>
      <c r="X58" s="11"/>
      <c r="Y58" s="11"/>
      <c r="Z58" s="11"/>
      <c r="AA58" s="6"/>
      <c r="AB58" s="136"/>
    </row>
    <row r="59" spans="2:28" ht="15">
      <c r="B59" s="26"/>
      <c r="C59" s="6"/>
      <c r="D59" s="6"/>
      <c r="E59" s="6"/>
      <c r="F59" s="6"/>
      <c r="G59" s="6"/>
      <c r="H59" s="6"/>
      <c r="I59" s="11" t="s">
        <v>13</v>
      </c>
      <c r="J59" s="11">
        <f>J55</f>
        <v>237.5</v>
      </c>
      <c r="K59" s="6"/>
      <c r="L59" s="6"/>
      <c r="M59" s="6"/>
      <c r="N59" s="66" t="s">
        <v>64</v>
      </c>
      <c r="O59" s="11" t="s">
        <v>65</v>
      </c>
      <c r="P59" s="22">
        <f>$J$69+O46</f>
        <v>1801.953125</v>
      </c>
      <c r="Q59" s="32" t="s">
        <v>32</v>
      </c>
      <c r="R59" s="6"/>
      <c r="S59" s="6" t="s">
        <v>77</v>
      </c>
      <c r="T59" s="9" t="s">
        <v>38</v>
      </c>
      <c r="U59" s="10">
        <f>J69</f>
        <v>51.953125</v>
      </c>
      <c r="V59" s="11"/>
      <c r="W59" s="9" t="s">
        <v>39</v>
      </c>
      <c r="X59" s="10">
        <f>J69</f>
        <v>51.953125</v>
      </c>
      <c r="Y59" s="11"/>
      <c r="Z59" s="10">
        <f>P59</f>
        <v>1801.953125</v>
      </c>
      <c r="AA59" s="6" t="s">
        <v>40</v>
      </c>
      <c r="AB59" s="136"/>
    </row>
    <row r="60" spans="2:28" ht="15">
      <c r="B60" s="26"/>
      <c r="C60" s="6"/>
      <c r="D60" s="6"/>
      <c r="E60" s="6"/>
      <c r="F60" s="6"/>
      <c r="G60" s="6"/>
      <c r="H60" s="6"/>
      <c r="I60" s="11" t="s">
        <v>16</v>
      </c>
      <c r="J60" s="11">
        <f>K21</f>
        <v>1.75</v>
      </c>
      <c r="K60" s="6"/>
      <c r="L60" s="6"/>
      <c r="M60" s="6"/>
      <c r="N60" s="26"/>
      <c r="O60" s="6"/>
      <c r="P60" s="6"/>
      <c r="Q60" s="32"/>
      <c r="R60" s="6"/>
      <c r="S60" s="6"/>
      <c r="T60" s="6"/>
      <c r="U60" s="6"/>
      <c r="V60" s="8" t="s">
        <v>0</v>
      </c>
      <c r="W60" s="6" t="s">
        <v>0</v>
      </c>
      <c r="X60" s="6"/>
      <c r="Y60" s="21" t="s">
        <v>0</v>
      </c>
      <c r="Z60" s="6"/>
      <c r="AA60" s="6"/>
      <c r="AB60" s="136"/>
    </row>
    <row r="61" spans="2:28" ht="15">
      <c r="B61" s="26"/>
      <c r="C61" s="6"/>
      <c r="D61" s="6"/>
      <c r="E61" s="6"/>
      <c r="F61" s="6"/>
      <c r="G61" s="6"/>
      <c r="H61" s="6"/>
      <c r="I61" s="11" t="s">
        <v>14</v>
      </c>
      <c r="J61" s="22">
        <f>J59*J60</f>
        <v>415.625</v>
      </c>
      <c r="K61" s="6" t="s">
        <v>11</v>
      </c>
      <c r="L61" s="6"/>
      <c r="M61" s="6"/>
      <c r="N61" s="26" t="s">
        <v>27</v>
      </c>
      <c r="O61" s="6"/>
      <c r="P61" s="6"/>
      <c r="Q61" s="32"/>
      <c r="R61" s="6"/>
      <c r="S61" s="6"/>
      <c r="T61" s="6"/>
      <c r="U61" s="6"/>
      <c r="V61" s="6"/>
      <c r="W61" s="6"/>
      <c r="X61" s="6"/>
      <c r="Y61" s="6"/>
      <c r="Z61" s="6"/>
      <c r="AA61" s="6"/>
      <c r="AB61" s="136"/>
    </row>
    <row r="62" spans="2:28" ht="15">
      <c r="B62" s="2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6" t="s">
        <v>28</v>
      </c>
      <c r="O62" s="6" t="s">
        <v>29</v>
      </c>
      <c r="P62" s="6"/>
      <c r="Q62" s="32"/>
      <c r="R62" s="6"/>
      <c r="S62" s="6"/>
      <c r="W62" t="s">
        <v>231</v>
      </c>
      <c r="X62" s="6"/>
      <c r="Y62" s="6"/>
      <c r="Z62" s="6"/>
      <c r="AB62" s="136"/>
    </row>
    <row r="63" spans="2:28" ht="15">
      <c r="B63" s="26"/>
      <c r="C63" s="6"/>
      <c r="D63" s="6"/>
      <c r="E63" s="6"/>
      <c r="F63" s="6"/>
      <c r="G63" s="6"/>
      <c r="H63" s="6"/>
      <c r="I63" s="214" t="s">
        <v>228</v>
      </c>
      <c r="J63" s="6"/>
      <c r="K63" s="6"/>
      <c r="L63" s="6"/>
      <c r="M63" s="6"/>
      <c r="N63" s="66" t="s">
        <v>14</v>
      </c>
      <c r="O63" s="14">
        <f>J61</f>
        <v>415.625</v>
      </c>
      <c r="P63" s="6" t="s">
        <v>11</v>
      </c>
      <c r="Q63" s="32"/>
      <c r="R63" s="6"/>
      <c r="AB63" s="136"/>
    </row>
    <row r="64" spans="2:28" ht="15">
      <c r="B64" s="26"/>
      <c r="C64" s="6"/>
      <c r="D64" s="6"/>
      <c r="E64" s="6"/>
      <c r="F64" s="6"/>
      <c r="G64" s="6"/>
      <c r="H64" s="6"/>
      <c r="I64" s="214" t="s">
        <v>229</v>
      </c>
      <c r="J64" s="6"/>
      <c r="K64" s="6"/>
      <c r="L64" s="6"/>
      <c r="M64" s="6"/>
      <c r="N64" s="66" t="s">
        <v>31</v>
      </c>
      <c r="O64" s="14">
        <f>O46</f>
        <v>1750</v>
      </c>
      <c r="P64" s="6" t="s">
        <v>32</v>
      </c>
      <c r="Q64" s="32"/>
      <c r="R64" s="6"/>
      <c r="AB64" s="136"/>
    </row>
    <row r="65" spans="2:28" ht="15">
      <c r="B65" s="26"/>
      <c r="C65" s="6"/>
      <c r="D65" s="6"/>
      <c r="E65" s="6"/>
      <c r="F65" s="6"/>
      <c r="G65" s="6"/>
      <c r="H65" s="6"/>
      <c r="I65" s="19" t="s">
        <v>23</v>
      </c>
      <c r="J65" s="6"/>
      <c r="K65" s="6"/>
      <c r="L65" s="6"/>
      <c r="M65" s="6"/>
      <c r="N65" s="66" t="s">
        <v>28</v>
      </c>
      <c r="O65" s="16">
        <f>O63+O64</f>
        <v>2165.625</v>
      </c>
      <c r="P65" s="6" t="s">
        <v>32</v>
      </c>
      <c r="Q65" s="32"/>
      <c r="R65" s="6"/>
      <c r="S65" s="6"/>
      <c r="X65" s="6"/>
      <c r="Y65" s="6"/>
      <c r="Z65" s="217" t="s">
        <v>0</v>
      </c>
      <c r="AB65" s="136"/>
    </row>
    <row r="66" spans="2:28" ht="15.75" thickBot="1">
      <c r="B66" s="26"/>
      <c r="C66" s="6"/>
      <c r="D66" s="6"/>
      <c r="E66" s="6"/>
      <c r="F66" s="6"/>
      <c r="G66" s="6"/>
      <c r="H66" s="6"/>
      <c r="I66" s="11" t="s">
        <v>24</v>
      </c>
      <c r="J66" s="6" t="s">
        <v>25</v>
      </c>
      <c r="K66" s="6"/>
      <c r="L66" s="6"/>
      <c r="M66" s="6"/>
      <c r="N66" s="29"/>
      <c r="O66" s="30"/>
      <c r="P66" s="30"/>
      <c r="Q66" s="33"/>
      <c r="R66" s="6"/>
      <c r="S66" s="6"/>
      <c r="X66" s="6"/>
      <c r="Y66" s="6"/>
      <c r="Z66" s="6" t="s">
        <v>0</v>
      </c>
      <c r="AB66" s="136"/>
    </row>
    <row r="67" spans="2:28" ht="15.75" thickTop="1">
      <c r="B67" s="26"/>
      <c r="C67" s="6"/>
      <c r="D67" s="6"/>
      <c r="E67" s="6"/>
      <c r="F67" s="6"/>
      <c r="G67" s="6"/>
      <c r="H67" s="6"/>
      <c r="I67" s="11" t="s">
        <v>14</v>
      </c>
      <c r="J67" s="25">
        <f>J61</f>
        <v>415.625</v>
      </c>
      <c r="K67" s="6" t="s">
        <v>11</v>
      </c>
      <c r="L67" s="6"/>
      <c r="M67" s="6"/>
      <c r="R67" s="6"/>
      <c r="T67" s="6"/>
      <c r="U67" s="6"/>
      <c r="V67" s="6"/>
      <c r="W67" s="6"/>
      <c r="X67" s="6"/>
      <c r="Y67" s="6"/>
      <c r="Z67" s="6"/>
      <c r="AA67" s="6"/>
      <c r="AB67" s="136"/>
    </row>
    <row r="68" spans="2:28" ht="15">
      <c r="B68" s="26"/>
      <c r="C68" s="6"/>
      <c r="D68" s="6"/>
      <c r="E68" s="6"/>
      <c r="F68" s="6"/>
      <c r="G68" s="6"/>
      <c r="H68" s="6"/>
      <c r="I68" s="11" t="s">
        <v>21</v>
      </c>
      <c r="J68" s="11">
        <f>K18</f>
        <v>8</v>
      </c>
      <c r="K68" s="6"/>
      <c r="L68" s="6"/>
      <c r="M68" s="6"/>
      <c r="N68" s="11"/>
      <c r="O68" s="6"/>
      <c r="P68" s="6"/>
      <c r="Q68" s="6"/>
      <c r="R68" s="6"/>
      <c r="T68" s="6"/>
      <c r="U68" s="6"/>
      <c r="V68" s="6"/>
      <c r="W68" s="6"/>
      <c r="X68" s="6"/>
      <c r="Y68" s="6"/>
      <c r="Z68" s="6"/>
      <c r="AA68" s="6"/>
      <c r="AB68" s="136"/>
    </row>
    <row r="69" spans="2:28" ht="15">
      <c r="B69" s="26"/>
      <c r="C69" s="6"/>
      <c r="D69" s="6"/>
      <c r="E69" s="6"/>
      <c r="F69" s="6"/>
      <c r="G69" s="6"/>
      <c r="H69" s="6"/>
      <c r="I69" s="11" t="s">
        <v>24</v>
      </c>
      <c r="J69" s="22">
        <f>J67/J68</f>
        <v>51.953125</v>
      </c>
      <c r="K69" s="6" t="s">
        <v>26</v>
      </c>
      <c r="L69" s="6"/>
      <c r="M69" s="6"/>
      <c r="N69" s="6"/>
      <c r="O69" s="6"/>
      <c r="P69" s="6"/>
      <c r="Q69" s="6"/>
      <c r="R69" s="6"/>
      <c r="T69" s="6"/>
      <c r="U69" s="6"/>
      <c r="V69" s="6"/>
      <c r="W69" s="6"/>
      <c r="X69" s="6"/>
      <c r="Y69" s="6"/>
      <c r="Z69" s="6"/>
      <c r="AA69" s="6"/>
      <c r="AB69" s="136"/>
    </row>
    <row r="70" spans="2:28" ht="15"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36"/>
    </row>
    <row r="71" spans="2:28" ht="15"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36"/>
    </row>
    <row r="72" spans="2:28" ht="15"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36"/>
    </row>
    <row r="73" spans="2:28" ht="15"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36"/>
    </row>
    <row r="74" spans="2:28" ht="15.75" thickBo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137"/>
    </row>
    <row r="75" ht="15.75" thickTop="1"/>
    <row r="77" ht="15.75" thickBot="1"/>
    <row r="78" spans="2:28" ht="15.75" thickTop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135">
        <v>3</v>
      </c>
    </row>
    <row r="79" spans="2:32" ht="15">
      <c r="B79" s="26"/>
      <c r="C79" s="182" t="s">
        <v>236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36"/>
      <c r="AC79" s="6"/>
      <c r="AD79" s="6"/>
      <c r="AE79" s="6"/>
      <c r="AF79" s="6"/>
    </row>
    <row r="80" spans="2:28" ht="15.75" thickBot="1">
      <c r="B80" s="2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 t="s">
        <v>76</v>
      </c>
      <c r="O80" s="208">
        <f>K106</f>
        <v>2113.671875</v>
      </c>
      <c r="P80" s="7"/>
      <c r="Q80" s="6"/>
      <c r="R80" s="8">
        <f>H96</f>
        <v>103.90625</v>
      </c>
      <c r="S80" s="6"/>
      <c r="T80" s="6"/>
      <c r="U80" s="6"/>
      <c r="V80" s="6"/>
      <c r="W80" s="6"/>
      <c r="AB80" s="136"/>
    </row>
    <row r="81" spans="2:28" ht="15.75" thickTop="1">
      <c r="B81" s="26"/>
      <c r="C81" s="213" t="s">
        <v>195</v>
      </c>
      <c r="D81" s="28"/>
      <c r="E81" s="28"/>
      <c r="F81" s="28"/>
      <c r="G81" s="28"/>
      <c r="H81" s="28"/>
      <c r="I81" s="28"/>
      <c r="J81" s="28"/>
      <c r="K81" s="28"/>
      <c r="L81" s="31"/>
      <c r="M81" s="6"/>
      <c r="N81" s="6"/>
      <c r="O81" s="9" t="s">
        <v>33</v>
      </c>
      <c r="P81" s="10">
        <f>J69</f>
        <v>51.953125</v>
      </c>
      <c r="Q81" s="11"/>
      <c r="R81" s="11"/>
      <c r="S81" s="11"/>
      <c r="T81" s="11"/>
      <c r="U81" s="10">
        <f>J69</f>
        <v>51.953125</v>
      </c>
      <c r="V81" s="6" t="s">
        <v>34</v>
      </c>
      <c r="W81" s="6"/>
      <c r="AB81" s="136"/>
    </row>
    <row r="82" spans="2:28" ht="15">
      <c r="B82" s="26"/>
      <c r="C82" s="26"/>
      <c r="D82" s="6"/>
      <c r="E82" s="6"/>
      <c r="F82" s="6"/>
      <c r="G82" s="6"/>
      <c r="H82" s="6"/>
      <c r="I82" s="6"/>
      <c r="J82" s="6"/>
      <c r="K82" s="6"/>
      <c r="L82" s="32"/>
      <c r="M82" s="6"/>
      <c r="N82" s="6"/>
      <c r="O82" s="9"/>
      <c r="P82" s="11"/>
      <c r="Q82" s="11"/>
      <c r="R82" s="11"/>
      <c r="S82" s="11"/>
      <c r="T82" s="11"/>
      <c r="U82" s="11"/>
      <c r="V82" s="6"/>
      <c r="W82" s="6" t="s">
        <v>0</v>
      </c>
      <c r="AB82" s="136"/>
    </row>
    <row r="83" spans="2:28" ht="15">
      <c r="B83" s="26"/>
      <c r="C83" s="26" t="s">
        <v>212</v>
      </c>
      <c r="D83" s="6"/>
      <c r="E83" s="6"/>
      <c r="F83" s="6"/>
      <c r="G83" s="6"/>
      <c r="H83" s="6"/>
      <c r="I83" s="6"/>
      <c r="J83" s="6"/>
      <c r="K83" s="6"/>
      <c r="L83" s="32"/>
      <c r="M83" s="6"/>
      <c r="N83" s="6"/>
      <c r="O83" s="12">
        <f>K101</f>
        <v>2009.765625</v>
      </c>
      <c r="P83" s="11"/>
      <c r="Q83" s="11"/>
      <c r="R83" s="11"/>
      <c r="S83" s="11"/>
      <c r="T83" s="11"/>
      <c r="U83" s="11"/>
      <c r="V83" s="6"/>
      <c r="W83" s="6"/>
      <c r="AB83" s="136"/>
    </row>
    <row r="84" spans="2:28" ht="15">
      <c r="B84" s="26"/>
      <c r="C84" s="26" t="s">
        <v>213</v>
      </c>
      <c r="D84" s="6"/>
      <c r="E84" s="6"/>
      <c r="F84" s="6"/>
      <c r="G84" s="6"/>
      <c r="H84" s="6"/>
      <c r="I84" s="6"/>
      <c r="J84" s="6"/>
      <c r="K84" s="6"/>
      <c r="L84" s="32"/>
      <c r="M84" s="6"/>
      <c r="N84" s="6"/>
      <c r="O84" s="9"/>
      <c r="P84" s="11"/>
      <c r="Q84" s="11"/>
      <c r="R84" s="11"/>
      <c r="S84" s="11"/>
      <c r="T84" s="11"/>
      <c r="U84" s="11"/>
      <c r="V84" s="15">
        <f>H91</f>
        <v>51.953125</v>
      </c>
      <c r="AB84" s="136"/>
    </row>
    <row r="85" spans="2:28" ht="15">
      <c r="B85" s="26"/>
      <c r="C85" s="223" t="s">
        <v>47</v>
      </c>
      <c r="D85" s="6"/>
      <c r="E85" s="6"/>
      <c r="F85" s="6"/>
      <c r="G85" s="6"/>
      <c r="H85" s="6"/>
      <c r="I85" s="6"/>
      <c r="J85" s="6"/>
      <c r="K85" s="6"/>
      <c r="L85" s="32"/>
      <c r="M85" s="6"/>
      <c r="N85" s="6"/>
      <c r="O85" s="9"/>
      <c r="P85" s="11"/>
      <c r="Q85" s="11"/>
      <c r="R85" s="11"/>
      <c r="S85" s="11"/>
      <c r="T85" s="11"/>
      <c r="U85" s="11"/>
      <c r="V85" s="6"/>
      <c r="AB85" s="136"/>
    </row>
    <row r="86" spans="2:28" ht="15">
      <c r="B86" s="26"/>
      <c r="C86" s="66" t="s">
        <v>43</v>
      </c>
      <c r="D86" s="13" t="s">
        <v>44</v>
      </c>
      <c r="E86" s="6"/>
      <c r="F86" s="6"/>
      <c r="G86" s="6" t="s">
        <v>67</v>
      </c>
      <c r="H86" s="6"/>
      <c r="I86" s="6"/>
      <c r="J86" s="11" t="s">
        <v>69</v>
      </c>
      <c r="K86" s="6" t="s">
        <v>70</v>
      </c>
      <c r="L86" s="32"/>
      <c r="M86" s="6"/>
      <c r="N86" s="6"/>
      <c r="O86" s="9" t="s">
        <v>35</v>
      </c>
      <c r="P86" s="11"/>
      <c r="Q86" s="17">
        <f>K90</f>
        <v>1002.9296875</v>
      </c>
      <c r="R86" s="9" t="s">
        <v>36</v>
      </c>
      <c r="S86" s="6"/>
      <c r="T86" s="18">
        <f>D98</f>
        <v>900.9765625</v>
      </c>
      <c r="U86" s="11"/>
      <c r="V86" s="6" t="s">
        <v>37</v>
      </c>
      <c r="AB86" s="136"/>
    </row>
    <row r="87" spans="2:28" ht="15">
      <c r="B87" s="26"/>
      <c r="C87" s="66" t="s">
        <v>64</v>
      </c>
      <c r="D87" s="10">
        <f>P59</f>
        <v>1801.953125</v>
      </c>
      <c r="E87" s="6" t="s">
        <v>32</v>
      </c>
      <c r="F87" s="6"/>
      <c r="G87" s="11" t="s">
        <v>50</v>
      </c>
      <c r="H87" s="6" t="s">
        <v>68</v>
      </c>
      <c r="I87" s="6"/>
      <c r="J87" s="11" t="s">
        <v>62</v>
      </c>
      <c r="K87" s="10">
        <f>P55</f>
        <v>51.953125</v>
      </c>
      <c r="L87" s="32"/>
      <c r="M87" s="6"/>
      <c r="N87" s="6"/>
      <c r="O87" s="9" t="s">
        <v>0</v>
      </c>
      <c r="P87" s="10">
        <f>J69</f>
        <v>51.953125</v>
      </c>
      <c r="Q87" s="11"/>
      <c r="R87" s="11"/>
      <c r="S87" s="10">
        <f>J69</f>
        <v>51.953125</v>
      </c>
      <c r="T87" s="11"/>
      <c r="U87" s="10">
        <f>J69</f>
        <v>51.953125</v>
      </c>
      <c r="V87" s="6"/>
      <c r="AB87" s="136"/>
    </row>
    <row r="88" spans="2:28" ht="15">
      <c r="B88" s="26"/>
      <c r="C88" s="66" t="s">
        <v>43</v>
      </c>
      <c r="D88" s="22">
        <f>D87/2</f>
        <v>900.9765625</v>
      </c>
      <c r="E88" s="6" t="s">
        <v>32</v>
      </c>
      <c r="F88" s="6"/>
      <c r="G88" s="11" t="s">
        <v>63</v>
      </c>
      <c r="H88" s="10">
        <f>U87</f>
        <v>51.953125</v>
      </c>
      <c r="I88" s="6"/>
      <c r="J88" s="11" t="s">
        <v>53</v>
      </c>
      <c r="K88" s="11">
        <f>D101</f>
        <v>50</v>
      </c>
      <c r="L88" s="32"/>
      <c r="M88" s="6"/>
      <c r="N88" s="6"/>
      <c r="O88" s="9"/>
      <c r="P88" s="11"/>
      <c r="Q88" s="11"/>
      <c r="R88" s="11"/>
      <c r="S88" s="11"/>
      <c r="T88" s="11"/>
      <c r="U88" s="11"/>
      <c r="V88" s="6"/>
      <c r="AB88" s="136"/>
    </row>
    <row r="89" spans="2:28" ht="15">
      <c r="B89" s="26"/>
      <c r="C89" s="26"/>
      <c r="D89" s="6"/>
      <c r="E89" s="6"/>
      <c r="F89" s="6"/>
      <c r="G89" s="11" t="s">
        <v>46</v>
      </c>
      <c r="H89" s="10">
        <f>D94</f>
        <v>900.9765625</v>
      </c>
      <c r="I89" s="6"/>
      <c r="J89" s="11" t="s">
        <v>48</v>
      </c>
      <c r="K89" s="10">
        <f>D98</f>
        <v>900.9765625</v>
      </c>
      <c r="L89" s="32"/>
      <c r="M89" s="6"/>
      <c r="N89" s="6"/>
      <c r="O89" s="12">
        <f>K95</f>
        <v>954.8828125</v>
      </c>
      <c r="P89" s="11"/>
      <c r="Q89" s="11"/>
      <c r="R89" s="11"/>
      <c r="S89" s="20">
        <f>D101</f>
        <v>50</v>
      </c>
      <c r="T89" s="11"/>
      <c r="U89" s="11"/>
      <c r="V89" s="6"/>
      <c r="AB89" s="136"/>
    </row>
    <row r="90" spans="2:28" ht="15">
      <c r="B90" s="26"/>
      <c r="C90" s="66" t="s">
        <v>45</v>
      </c>
      <c r="D90" s="6"/>
      <c r="E90" s="6"/>
      <c r="F90" s="6"/>
      <c r="G90" s="11" t="s">
        <v>48</v>
      </c>
      <c r="H90" s="10">
        <f>D98</f>
        <v>900.9765625</v>
      </c>
      <c r="I90" s="6"/>
      <c r="J90" s="11" t="s">
        <v>69</v>
      </c>
      <c r="K90" s="16">
        <f>K87+K88+K89</f>
        <v>1002.9296875</v>
      </c>
      <c r="L90" s="32" t="s">
        <v>32</v>
      </c>
      <c r="M90" s="6"/>
      <c r="N90" s="6"/>
      <c r="O90" s="9"/>
      <c r="P90" s="11"/>
      <c r="Q90" s="11"/>
      <c r="R90" s="11"/>
      <c r="S90" s="11"/>
      <c r="T90" s="11"/>
      <c r="U90" s="11"/>
      <c r="V90" s="15">
        <f>D94</f>
        <v>900.9765625</v>
      </c>
      <c r="AB90" s="136"/>
    </row>
    <row r="91" spans="2:28" ht="15">
      <c r="B91" s="26"/>
      <c r="C91" s="66" t="s">
        <v>46</v>
      </c>
      <c r="D91" s="6" t="s">
        <v>66</v>
      </c>
      <c r="E91" s="6"/>
      <c r="F91" s="6"/>
      <c r="G91" s="11" t="s">
        <v>50</v>
      </c>
      <c r="H91" s="22">
        <f>H88+H89-H90</f>
        <v>51.953125</v>
      </c>
      <c r="I91" s="6" t="s">
        <v>32</v>
      </c>
      <c r="J91" s="6"/>
      <c r="K91" s="6"/>
      <c r="L91" s="32"/>
      <c r="M91" s="6"/>
      <c r="N91" s="6"/>
      <c r="O91" s="9"/>
      <c r="P91" s="11"/>
      <c r="Q91" s="11"/>
      <c r="R91" s="11"/>
      <c r="S91" s="11"/>
      <c r="T91" s="11"/>
      <c r="U91" s="11"/>
      <c r="V91" s="6"/>
      <c r="AB91" s="136"/>
    </row>
    <row r="92" spans="2:28" ht="15">
      <c r="B92" s="26"/>
      <c r="C92" s="66" t="s">
        <v>64</v>
      </c>
      <c r="D92" s="10">
        <f>P59</f>
        <v>1801.953125</v>
      </c>
      <c r="E92" s="6"/>
      <c r="F92" s="6"/>
      <c r="G92" s="6"/>
      <c r="H92" s="6"/>
      <c r="I92" s="6"/>
      <c r="J92" s="11" t="s">
        <v>55</v>
      </c>
      <c r="K92" s="6" t="s">
        <v>56</v>
      </c>
      <c r="L92" s="32"/>
      <c r="M92" s="6"/>
      <c r="N92" s="6"/>
      <c r="O92" s="6"/>
      <c r="P92" s="11"/>
      <c r="Q92" s="11"/>
      <c r="R92" s="11"/>
      <c r="S92" s="11"/>
      <c r="T92" s="11"/>
      <c r="U92" s="11"/>
      <c r="V92" s="6"/>
      <c r="AB92" s="136"/>
    </row>
    <row r="93" spans="2:28" ht="15">
      <c r="B93" s="26"/>
      <c r="C93" s="66" t="s">
        <v>43</v>
      </c>
      <c r="D93" s="10">
        <f>D88</f>
        <v>900.9765625</v>
      </c>
      <c r="E93" s="6"/>
      <c r="F93" s="6"/>
      <c r="G93" s="11" t="s">
        <v>249</v>
      </c>
      <c r="H93" s="6" t="s">
        <v>51</v>
      </c>
      <c r="I93" s="6"/>
      <c r="J93" s="11" t="s">
        <v>57</v>
      </c>
      <c r="K93" s="10">
        <f>P57</f>
        <v>51.953125</v>
      </c>
      <c r="L93" s="32"/>
      <c r="M93" s="6"/>
      <c r="N93" s="6" t="s">
        <v>77</v>
      </c>
      <c r="O93" s="9" t="s">
        <v>38</v>
      </c>
      <c r="P93" s="10">
        <f>J69</f>
        <v>51.953125</v>
      </c>
      <c r="Q93" s="11"/>
      <c r="R93" s="9" t="s">
        <v>39</v>
      </c>
      <c r="S93" s="10">
        <f>J69</f>
        <v>51.953125</v>
      </c>
      <c r="T93" s="11"/>
      <c r="U93" s="10">
        <f>J69+O46</f>
        <v>1801.953125</v>
      </c>
      <c r="V93" s="6" t="s">
        <v>40</v>
      </c>
      <c r="AB93" s="136"/>
    </row>
    <row r="94" spans="2:28" ht="15">
      <c r="B94" s="26"/>
      <c r="C94" s="66" t="s">
        <v>46</v>
      </c>
      <c r="D94" s="22">
        <f>D92-D93</f>
        <v>900.9765625</v>
      </c>
      <c r="E94" s="6" t="s">
        <v>32</v>
      </c>
      <c r="F94" s="6"/>
      <c r="G94" s="11" t="s">
        <v>52</v>
      </c>
      <c r="H94" s="10">
        <f>U81</f>
        <v>51.953125</v>
      </c>
      <c r="I94" s="6"/>
      <c r="J94" s="11" t="s">
        <v>58</v>
      </c>
      <c r="K94" s="10">
        <f>H103</f>
        <v>902.9296875</v>
      </c>
      <c r="L94" s="32"/>
      <c r="M94" s="6"/>
      <c r="N94" s="6"/>
      <c r="O94" s="6"/>
      <c r="P94" s="6"/>
      <c r="Q94" s="8">
        <f>H103</f>
        <v>902.9296875</v>
      </c>
      <c r="R94" s="6"/>
      <c r="S94" s="6"/>
      <c r="T94" s="21">
        <f>D88</f>
        <v>900.9765625</v>
      </c>
      <c r="U94" s="6"/>
      <c r="V94" s="6"/>
      <c r="W94" s="6"/>
      <c r="AB94" s="136"/>
    </row>
    <row r="95" spans="2:28" ht="15">
      <c r="B95" s="26"/>
      <c r="C95" s="26"/>
      <c r="D95" s="6"/>
      <c r="E95" s="6"/>
      <c r="F95" s="6"/>
      <c r="G95" s="11" t="s">
        <v>50</v>
      </c>
      <c r="H95" s="10">
        <f>H91</f>
        <v>51.953125</v>
      </c>
      <c r="I95" s="6"/>
      <c r="J95" s="11" t="s">
        <v>55</v>
      </c>
      <c r="K95" s="16">
        <f>K93+K94</f>
        <v>954.8828125</v>
      </c>
      <c r="L95" s="32" t="s">
        <v>32</v>
      </c>
      <c r="M95" s="6"/>
      <c r="N95" s="6"/>
      <c r="O95" s="6"/>
      <c r="P95" s="6"/>
      <c r="Q95" s="6"/>
      <c r="R95" s="6"/>
      <c r="S95" s="6"/>
      <c r="T95" s="6"/>
      <c r="U95" s="6"/>
      <c r="V95" s="6"/>
      <c r="AB95" s="136"/>
    </row>
    <row r="96" spans="2:28" ht="15">
      <c r="B96" s="26"/>
      <c r="C96" s="168" t="s">
        <v>47</v>
      </c>
      <c r="D96" s="6"/>
      <c r="E96" s="6"/>
      <c r="F96" s="6"/>
      <c r="G96" s="11" t="s">
        <v>249</v>
      </c>
      <c r="H96" s="16">
        <f>H94+H95</f>
        <v>103.90625</v>
      </c>
      <c r="I96" s="6" t="s">
        <v>32</v>
      </c>
      <c r="J96" s="6"/>
      <c r="K96" s="6"/>
      <c r="L96" s="32"/>
      <c r="M96" s="6"/>
      <c r="N96" s="6"/>
      <c r="O96" s="6"/>
      <c r="P96" s="6"/>
      <c r="Q96" s="6" t="s">
        <v>235</v>
      </c>
      <c r="R96" s="6"/>
      <c r="S96" s="6"/>
      <c r="T96" s="6"/>
      <c r="U96" s="6"/>
      <c r="V96" s="6"/>
      <c r="AB96" s="136"/>
    </row>
    <row r="97" spans="2:28" ht="15">
      <c r="B97" s="26"/>
      <c r="C97" s="66" t="s">
        <v>48</v>
      </c>
      <c r="D97" s="13" t="s">
        <v>49</v>
      </c>
      <c r="E97" s="6"/>
      <c r="F97" s="6"/>
      <c r="G97" s="6"/>
      <c r="H97" s="6"/>
      <c r="I97" s="11"/>
      <c r="J97" s="11" t="s">
        <v>74</v>
      </c>
      <c r="K97" s="19" t="s">
        <v>75</v>
      </c>
      <c r="L97" s="32"/>
      <c r="M97" s="6"/>
      <c r="Z97" s="6"/>
      <c r="AA97" s="6"/>
      <c r="AB97" s="136"/>
    </row>
    <row r="98" spans="2:28" ht="15">
      <c r="B98" s="26"/>
      <c r="C98" s="66" t="s">
        <v>48</v>
      </c>
      <c r="D98" s="22">
        <f>D94</f>
        <v>900.9765625</v>
      </c>
      <c r="E98" s="6" t="s">
        <v>32</v>
      </c>
      <c r="F98" s="6"/>
      <c r="G98" s="19" t="s">
        <v>71</v>
      </c>
      <c r="H98" s="6"/>
      <c r="I98" s="6"/>
      <c r="J98" s="11" t="s">
        <v>61</v>
      </c>
      <c r="K98" s="10">
        <f>P54</f>
        <v>51.953125</v>
      </c>
      <c r="L98" s="32"/>
      <c r="M98" s="6"/>
      <c r="Z98" s="6"/>
      <c r="AA98" s="6"/>
      <c r="AB98" s="136"/>
    </row>
    <row r="99" spans="2:28" ht="15">
      <c r="B99" s="26"/>
      <c r="C99" s="26"/>
      <c r="D99" s="6"/>
      <c r="E99" s="6"/>
      <c r="F99" s="6"/>
      <c r="G99" s="24" t="s">
        <v>72</v>
      </c>
      <c r="H99" s="6" t="s">
        <v>73</v>
      </c>
      <c r="I99" s="6"/>
      <c r="J99" s="11" t="s">
        <v>55</v>
      </c>
      <c r="K99" s="14">
        <f>K95</f>
        <v>954.8828125</v>
      </c>
      <c r="L99" s="32"/>
      <c r="M99" s="6"/>
      <c r="Z99" s="6"/>
      <c r="AA99" s="6"/>
      <c r="AB99" s="136"/>
    </row>
    <row r="100" spans="2:28" ht="15">
      <c r="B100" s="26"/>
      <c r="C100" s="168" t="s">
        <v>47</v>
      </c>
      <c r="D100" s="6"/>
      <c r="E100" s="6"/>
      <c r="F100" s="6"/>
      <c r="G100" s="11" t="s">
        <v>59</v>
      </c>
      <c r="H100" s="10">
        <f>S93</f>
        <v>51.953125</v>
      </c>
      <c r="I100" s="6"/>
      <c r="J100" s="11" t="s">
        <v>69</v>
      </c>
      <c r="K100" s="14">
        <f>K90</f>
        <v>1002.9296875</v>
      </c>
      <c r="L100" s="32"/>
      <c r="M100" s="6"/>
      <c r="Q100" s="6"/>
      <c r="R100" s="6"/>
      <c r="S100" s="6"/>
      <c r="T100" s="6"/>
      <c r="U100" s="6"/>
      <c r="V100" s="6"/>
      <c r="Z100" s="6"/>
      <c r="AA100" s="6"/>
      <c r="AB100" s="136"/>
    </row>
    <row r="101" spans="2:28" ht="15">
      <c r="B101" s="26"/>
      <c r="C101" s="66" t="s">
        <v>53</v>
      </c>
      <c r="D101" s="13">
        <v>50</v>
      </c>
      <c r="E101" s="6" t="s">
        <v>32</v>
      </c>
      <c r="F101" s="6"/>
      <c r="G101" s="11" t="s">
        <v>43</v>
      </c>
      <c r="H101" s="10">
        <f>D88</f>
        <v>900.9765625</v>
      </c>
      <c r="I101" s="6"/>
      <c r="J101" s="11" t="s">
        <v>74</v>
      </c>
      <c r="K101" s="16">
        <f>K98+K99+K100</f>
        <v>2009.765625</v>
      </c>
      <c r="L101" s="32" t="s">
        <v>32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Z101" s="6"/>
      <c r="AA101" s="6"/>
      <c r="AB101" s="136"/>
    </row>
    <row r="102" spans="2:28" ht="15">
      <c r="B102" s="26"/>
      <c r="C102" s="26"/>
      <c r="D102" s="6"/>
      <c r="E102" s="6"/>
      <c r="F102" s="6"/>
      <c r="G102" s="11" t="s">
        <v>53</v>
      </c>
      <c r="H102" s="11">
        <f>D101</f>
        <v>50</v>
      </c>
      <c r="I102" s="6"/>
      <c r="J102" s="6"/>
      <c r="K102" s="6"/>
      <c r="L102" s="32"/>
      <c r="M102" s="6"/>
      <c r="P102" s="6"/>
      <c r="Q102" s="6"/>
      <c r="R102" s="6"/>
      <c r="S102" s="6"/>
      <c r="T102" s="6"/>
      <c r="U102" s="6"/>
      <c r="V102" s="6"/>
      <c r="Z102" s="6"/>
      <c r="AA102" s="6"/>
      <c r="AB102" s="136"/>
    </row>
    <row r="103" spans="2:28" ht="15">
      <c r="B103" s="26"/>
      <c r="C103" s="66" t="s">
        <v>31</v>
      </c>
      <c r="D103" s="11">
        <f>O46</f>
        <v>1750</v>
      </c>
      <c r="E103" s="6" t="s">
        <v>32</v>
      </c>
      <c r="F103" s="6"/>
      <c r="G103" s="11" t="s">
        <v>54</v>
      </c>
      <c r="H103" s="16">
        <f>H100+H101-H102</f>
        <v>902.9296875</v>
      </c>
      <c r="I103" s="6" t="s">
        <v>32</v>
      </c>
      <c r="J103" s="49" t="s">
        <v>102</v>
      </c>
      <c r="K103" s="48" t="s">
        <v>103</v>
      </c>
      <c r="L103" s="32"/>
      <c r="M103" s="6"/>
      <c r="P103" s="6"/>
      <c r="Q103" s="6"/>
      <c r="R103" s="6"/>
      <c r="S103" s="6"/>
      <c r="T103" s="6"/>
      <c r="U103" s="6"/>
      <c r="V103" s="6"/>
      <c r="Z103" s="6"/>
      <c r="AA103" s="6"/>
      <c r="AB103" s="136"/>
    </row>
    <row r="104" spans="2:28" ht="15">
      <c r="B104" s="26"/>
      <c r="C104" s="26"/>
      <c r="D104" s="6"/>
      <c r="E104" s="6"/>
      <c r="F104" s="6"/>
      <c r="G104" s="6"/>
      <c r="H104" s="6"/>
      <c r="I104" s="6"/>
      <c r="J104" s="11" t="s">
        <v>104</v>
      </c>
      <c r="K104" s="14">
        <f>O83</f>
        <v>2009.765625</v>
      </c>
      <c r="L104" s="32"/>
      <c r="M104" s="6"/>
      <c r="P104" s="6"/>
      <c r="Q104" s="6"/>
      <c r="R104" s="6"/>
      <c r="S104" s="6"/>
      <c r="T104" s="6"/>
      <c r="U104" s="6"/>
      <c r="V104" s="6"/>
      <c r="Z104" s="6"/>
      <c r="AA104" s="6"/>
      <c r="AB104" s="136"/>
    </row>
    <row r="105" spans="2:28" ht="15">
      <c r="B105" s="26"/>
      <c r="C105" s="26"/>
      <c r="D105" s="6"/>
      <c r="E105" s="6"/>
      <c r="F105" s="6"/>
      <c r="G105" s="6"/>
      <c r="H105" s="6"/>
      <c r="I105" s="6"/>
      <c r="J105" s="11" t="s">
        <v>105</v>
      </c>
      <c r="K105" s="14">
        <f>R80</f>
        <v>103.90625</v>
      </c>
      <c r="L105" s="32"/>
      <c r="M105" s="6"/>
      <c r="P105" s="6"/>
      <c r="Q105" s="6"/>
      <c r="R105" s="6"/>
      <c r="S105" s="6"/>
      <c r="T105" s="6"/>
      <c r="U105" s="6"/>
      <c r="V105" s="6"/>
      <c r="Z105" s="6"/>
      <c r="AA105" s="6"/>
      <c r="AB105" s="136"/>
    </row>
    <row r="106" spans="2:28" ht="15.75" thickBot="1">
      <c r="B106" s="26"/>
      <c r="C106" s="29"/>
      <c r="D106" s="30"/>
      <c r="E106" s="30"/>
      <c r="F106" s="30"/>
      <c r="G106" s="30"/>
      <c r="H106" s="30"/>
      <c r="I106" s="30"/>
      <c r="J106" s="68" t="s">
        <v>102</v>
      </c>
      <c r="K106" s="224">
        <f>K104+K105</f>
        <v>2113.671875</v>
      </c>
      <c r="L106" s="33" t="s">
        <v>32</v>
      </c>
      <c r="M106" s="6"/>
      <c r="P106" s="6"/>
      <c r="Q106" s="6"/>
      <c r="R106" s="6"/>
      <c r="S106" s="6"/>
      <c r="T106" s="6"/>
      <c r="U106" s="6"/>
      <c r="V106" s="6"/>
      <c r="Z106" s="6"/>
      <c r="AA106" s="6"/>
      <c r="AB106" s="136"/>
    </row>
    <row r="107" spans="2:28" ht="15.75" thickTop="1">
      <c r="B107" s="26"/>
      <c r="C107" s="6"/>
      <c r="L107" s="6"/>
      <c r="M107" s="6"/>
      <c r="P107" s="6"/>
      <c r="Q107" s="6"/>
      <c r="R107" s="6"/>
      <c r="S107" s="6"/>
      <c r="T107" s="6"/>
      <c r="U107" s="6"/>
      <c r="V107" s="6"/>
      <c r="Z107" s="6"/>
      <c r="AA107" s="6"/>
      <c r="AB107" s="136"/>
    </row>
    <row r="108" spans="2:28" ht="15">
      <c r="B108" s="26"/>
      <c r="C108" s="6"/>
      <c r="L108" s="6"/>
      <c r="M108" s="6"/>
      <c r="P108" s="6"/>
      <c r="Q108" s="6"/>
      <c r="R108" s="6"/>
      <c r="S108" s="6"/>
      <c r="T108" s="6"/>
      <c r="U108" s="6"/>
      <c r="V108" s="6"/>
      <c r="Z108" s="6"/>
      <c r="AA108" s="6"/>
      <c r="AB108" s="136"/>
    </row>
    <row r="109" spans="2:28" ht="15">
      <c r="B109" s="26"/>
      <c r="C109" s="6"/>
      <c r="L109" s="6"/>
      <c r="M109" s="6"/>
      <c r="P109" s="6"/>
      <c r="Q109" s="6"/>
      <c r="R109" s="6"/>
      <c r="S109" s="6"/>
      <c r="T109" s="6"/>
      <c r="U109" s="6"/>
      <c r="V109" s="6"/>
      <c r="Z109" s="6"/>
      <c r="AA109" s="6"/>
      <c r="AB109" s="136"/>
    </row>
    <row r="110" spans="2:28" ht="15">
      <c r="B110" s="26"/>
      <c r="C110" s="6"/>
      <c r="L110" s="6"/>
      <c r="M110" s="6"/>
      <c r="P110" s="6"/>
      <c r="Q110" s="6"/>
      <c r="R110" s="6"/>
      <c r="S110" s="6"/>
      <c r="T110" s="6"/>
      <c r="U110" s="6"/>
      <c r="V110" s="6"/>
      <c r="Z110" s="6"/>
      <c r="AA110" s="6"/>
      <c r="AB110" s="136"/>
    </row>
    <row r="111" spans="2:28" ht="15">
      <c r="B111" s="26"/>
      <c r="C111" s="6"/>
      <c r="D111" s="6"/>
      <c r="E111" s="6"/>
      <c r="F111" s="6"/>
      <c r="L111" s="6"/>
      <c r="M111" s="6"/>
      <c r="P111" s="6"/>
      <c r="Q111" s="6"/>
      <c r="R111" s="6"/>
      <c r="S111" s="6"/>
      <c r="T111" s="6"/>
      <c r="U111" s="6"/>
      <c r="V111" s="6"/>
      <c r="Z111" s="6"/>
      <c r="AA111" s="6"/>
      <c r="AB111" s="136"/>
    </row>
    <row r="112" spans="2:28" ht="15">
      <c r="B112" s="2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36"/>
    </row>
    <row r="113" spans="2:28" ht="15.75" thickBot="1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137"/>
    </row>
    <row r="114" ht="15.75" thickTop="1"/>
    <row r="115" ht="15.75" thickBot="1"/>
    <row r="116" spans="2:28" ht="15.75" thickTop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135">
        <v>4</v>
      </c>
    </row>
    <row r="117" spans="2:28" ht="21">
      <c r="B117" s="26"/>
      <c r="G117" s="225"/>
      <c r="L117" s="6"/>
      <c r="M117" s="6"/>
      <c r="W117" s="6"/>
      <c r="X117" s="6"/>
      <c r="Y117" s="6"/>
      <c r="Z117" s="6"/>
      <c r="AB117" s="136"/>
    </row>
    <row r="118" spans="2:28" ht="15">
      <c r="B118" s="26"/>
      <c r="C118" s="211" t="s">
        <v>238</v>
      </c>
      <c r="H118" s="211" t="s">
        <v>240</v>
      </c>
      <c r="W118" s="6"/>
      <c r="X118" s="6"/>
      <c r="Y118" s="6"/>
      <c r="Z118" s="6"/>
      <c r="AB118" s="136"/>
    </row>
    <row r="119" spans="2:28" ht="15">
      <c r="B119" s="26"/>
      <c r="R119" s="6" t="s">
        <v>76</v>
      </c>
      <c r="S119" s="208">
        <f>U106</f>
        <v>0</v>
      </c>
      <c r="T119" s="7"/>
      <c r="U119" s="6"/>
      <c r="V119" s="8">
        <f>R80</f>
        <v>103.90625</v>
      </c>
      <c r="W119" s="6"/>
      <c r="X119" s="6"/>
      <c r="Y119" s="6"/>
      <c r="Z119" s="6"/>
      <c r="AB119" s="136"/>
    </row>
    <row r="120" spans="2:28" ht="15">
      <c r="B120" s="66"/>
      <c r="H120" s="6"/>
      <c r="I120" s="51" t="s">
        <v>111</v>
      </c>
      <c r="J120" s="52"/>
      <c r="K120" s="52"/>
      <c r="L120" s="52"/>
      <c r="M120" s="52"/>
      <c r="N120" s="52"/>
      <c r="O120" s="55"/>
      <c r="P120" s="6"/>
      <c r="R120" s="6"/>
      <c r="S120" s="9" t="s">
        <v>33</v>
      </c>
      <c r="T120" s="10">
        <f>P81</f>
        <v>51.953125</v>
      </c>
      <c r="U120" s="11"/>
      <c r="V120" s="11"/>
      <c r="W120" s="11"/>
      <c r="X120" s="11"/>
      <c r="Y120" s="10">
        <f>U81</f>
        <v>51.953125</v>
      </c>
      <c r="Z120" s="6" t="s">
        <v>34</v>
      </c>
      <c r="AB120" s="136"/>
    </row>
    <row r="121" spans="2:28" ht="15">
      <c r="B121" s="66"/>
      <c r="H121" s="6"/>
      <c r="I121" s="50" t="s">
        <v>112</v>
      </c>
      <c r="J121" s="6"/>
      <c r="K121" s="6"/>
      <c r="L121" s="6"/>
      <c r="M121" s="6"/>
      <c r="N121" s="6"/>
      <c r="O121" s="56"/>
      <c r="P121" s="6"/>
      <c r="R121" s="6"/>
      <c r="S121" s="9"/>
      <c r="T121" s="11"/>
      <c r="U121" s="11"/>
      <c r="V121" s="11"/>
      <c r="W121" s="11"/>
      <c r="X121" s="11"/>
      <c r="Y121" s="11"/>
      <c r="Z121" s="6"/>
      <c r="AB121" s="136"/>
    </row>
    <row r="122" spans="2:28" ht="15">
      <c r="B122" s="66"/>
      <c r="H122" s="6"/>
      <c r="I122" s="34" t="s">
        <v>85</v>
      </c>
      <c r="J122" s="11" t="s">
        <v>86</v>
      </c>
      <c r="K122" s="11" t="s">
        <v>41</v>
      </c>
      <c r="L122" s="11" t="s">
        <v>87</v>
      </c>
      <c r="M122" s="11" t="s">
        <v>88</v>
      </c>
      <c r="N122" s="11" t="s">
        <v>89</v>
      </c>
      <c r="O122" s="40" t="s">
        <v>90</v>
      </c>
      <c r="P122" s="6"/>
      <c r="R122" s="6"/>
      <c r="S122" s="234">
        <f>O83</f>
        <v>2009.765625</v>
      </c>
      <c r="T122" s="11"/>
      <c r="U122" s="11"/>
      <c r="V122" s="11"/>
      <c r="W122" s="11"/>
      <c r="X122" s="11"/>
      <c r="Y122" s="11"/>
      <c r="Z122" s="6"/>
      <c r="AB122" s="136"/>
    </row>
    <row r="123" spans="2:28" ht="15">
      <c r="B123" s="66"/>
      <c r="H123" s="6"/>
      <c r="I123" s="37" t="s">
        <v>101</v>
      </c>
      <c r="J123" s="53">
        <v>8</v>
      </c>
      <c r="K123" s="53">
        <v>130</v>
      </c>
      <c r="L123" s="53">
        <v>100</v>
      </c>
      <c r="M123" s="128">
        <f>10.48*L123/(K123^1.85*J123^4.87)</f>
        <v>5.1465695273026196E-06</v>
      </c>
      <c r="N123" s="54">
        <f>K106</f>
        <v>2113.671875</v>
      </c>
      <c r="O123" s="76">
        <f>M123*N123^1.85</f>
        <v>7.29184361869022</v>
      </c>
      <c r="P123" s="6"/>
      <c r="R123" s="6"/>
      <c r="S123" s="9"/>
      <c r="T123" s="11"/>
      <c r="U123" s="11"/>
      <c r="V123" s="11"/>
      <c r="W123" s="11"/>
      <c r="X123" s="11"/>
      <c r="Y123" s="11"/>
      <c r="Z123" s="15">
        <f>V84</f>
        <v>51.953125</v>
      </c>
      <c r="AB123" s="136"/>
    </row>
    <row r="124" spans="2:28" ht="15">
      <c r="B124" s="66"/>
      <c r="H124" s="6"/>
      <c r="I124" s="6"/>
      <c r="J124" s="6"/>
      <c r="K124" s="6"/>
      <c r="L124" s="6"/>
      <c r="M124" s="11" t="s">
        <v>114</v>
      </c>
      <c r="N124" s="11" t="s">
        <v>170</v>
      </c>
      <c r="O124" s="6"/>
      <c r="P124" s="6"/>
      <c r="R124" s="6"/>
      <c r="S124" s="9"/>
      <c r="T124" s="11"/>
      <c r="U124" s="11"/>
      <c r="V124" s="11"/>
      <c r="W124" s="11"/>
      <c r="X124" s="11"/>
      <c r="Y124" s="11"/>
      <c r="Z124" s="6"/>
      <c r="AB124" s="136"/>
    </row>
    <row r="125" spans="2:28" ht="15.75" thickBot="1">
      <c r="B125" s="66"/>
      <c r="C125" s="182" t="s">
        <v>201</v>
      </c>
      <c r="D125" s="6"/>
      <c r="E125" s="6"/>
      <c r="F125" s="6"/>
      <c r="G125" s="6"/>
      <c r="H125" s="182" t="s">
        <v>201</v>
      </c>
      <c r="I125" s="6"/>
      <c r="J125" s="6"/>
      <c r="K125" s="6"/>
      <c r="L125" s="6"/>
      <c r="M125" s="6"/>
      <c r="N125" s="6"/>
      <c r="O125" s="6"/>
      <c r="P125" s="6"/>
      <c r="R125" s="6"/>
      <c r="S125" s="9" t="s">
        <v>35</v>
      </c>
      <c r="T125" s="11"/>
      <c r="U125" s="231">
        <f>Q86</f>
        <v>1002.9296875</v>
      </c>
      <c r="V125" s="9" t="s">
        <v>36</v>
      </c>
      <c r="W125" s="6"/>
      <c r="X125" s="242">
        <f>T86</f>
        <v>900.9765625</v>
      </c>
      <c r="Y125" s="11"/>
      <c r="Z125" s="6" t="s">
        <v>37</v>
      </c>
      <c r="AB125" s="136"/>
    </row>
    <row r="126" spans="2:28" ht="15.75" thickTop="1">
      <c r="B126" s="66"/>
      <c r="C126" s="59"/>
      <c r="D126" s="178" t="s">
        <v>0</v>
      </c>
      <c r="E126" s="60"/>
      <c r="F126" s="62"/>
      <c r="H126" s="59"/>
      <c r="I126" s="178" t="s">
        <v>0</v>
      </c>
      <c r="J126" s="60"/>
      <c r="K126" s="60"/>
      <c r="L126" s="60"/>
      <c r="M126" s="60"/>
      <c r="N126" s="60"/>
      <c r="O126" s="60"/>
      <c r="P126" s="62"/>
      <c r="R126" s="6"/>
      <c r="S126" s="9" t="s">
        <v>0</v>
      </c>
      <c r="T126" s="10">
        <f>T69</f>
        <v>0</v>
      </c>
      <c r="U126" s="11"/>
      <c r="V126" s="11"/>
      <c r="W126" s="10">
        <f>T69</f>
        <v>0</v>
      </c>
      <c r="X126" s="11"/>
      <c r="Y126" s="10">
        <f>T69</f>
        <v>0</v>
      </c>
      <c r="Z126" s="6"/>
      <c r="AB126" s="136"/>
    </row>
    <row r="127" spans="2:28" ht="15">
      <c r="B127" s="66"/>
      <c r="C127" s="57"/>
      <c r="D127" s="11" t="s">
        <v>85</v>
      </c>
      <c r="E127" s="11" t="s">
        <v>89</v>
      </c>
      <c r="F127" s="63"/>
      <c r="H127" s="57"/>
      <c r="I127" s="11" t="s">
        <v>85</v>
      </c>
      <c r="J127" s="11" t="s">
        <v>86</v>
      </c>
      <c r="K127" s="11" t="s">
        <v>41</v>
      </c>
      <c r="L127" s="11" t="s">
        <v>87</v>
      </c>
      <c r="M127" s="11" t="s">
        <v>88</v>
      </c>
      <c r="N127" s="11" t="s">
        <v>89</v>
      </c>
      <c r="O127" s="11" t="s">
        <v>90</v>
      </c>
      <c r="P127" s="63"/>
      <c r="R127" s="6"/>
      <c r="S127" s="9"/>
      <c r="T127" s="11"/>
      <c r="U127" s="11"/>
      <c r="V127" s="11"/>
      <c r="W127" s="11"/>
      <c r="X127" s="11"/>
      <c r="Y127" s="11"/>
      <c r="Z127" s="6"/>
      <c r="AB127" s="136"/>
    </row>
    <row r="128" spans="2:28" ht="15">
      <c r="B128" s="66"/>
      <c r="C128" s="58"/>
      <c r="D128" s="6"/>
      <c r="E128" s="6" t="s">
        <v>170</v>
      </c>
      <c r="F128" s="64"/>
      <c r="H128" s="58"/>
      <c r="I128" s="6"/>
      <c r="J128" s="6"/>
      <c r="K128" s="6"/>
      <c r="L128" s="6"/>
      <c r="M128" s="6"/>
      <c r="N128" s="6" t="s">
        <v>170</v>
      </c>
      <c r="O128" s="6"/>
      <c r="P128" s="64"/>
      <c r="R128" s="6"/>
      <c r="S128" s="234">
        <f>O89</f>
        <v>954.8828125</v>
      </c>
      <c r="T128" s="11"/>
      <c r="U128" s="11"/>
      <c r="V128" s="11"/>
      <c r="W128" s="236">
        <f>S89</f>
        <v>50</v>
      </c>
      <c r="X128" s="11"/>
      <c r="Y128" s="11"/>
      <c r="Z128" s="6"/>
      <c r="AB128" s="136"/>
    </row>
    <row r="129" spans="2:28" ht="15">
      <c r="B129" s="66"/>
      <c r="C129" s="58"/>
      <c r="D129" s="124" t="s">
        <v>80</v>
      </c>
      <c r="E129" s="45">
        <f>R80</f>
        <v>103.90625</v>
      </c>
      <c r="F129" s="64"/>
      <c r="H129" s="58"/>
      <c r="I129" s="44" t="s">
        <v>80</v>
      </c>
      <c r="J129" s="47">
        <f aca="true" t="shared" si="1" ref="J129:L133">Q15</f>
        <v>8</v>
      </c>
      <c r="K129" s="47">
        <f t="shared" si="1"/>
        <v>130</v>
      </c>
      <c r="L129" s="47">
        <f t="shared" si="1"/>
        <v>1500</v>
      </c>
      <c r="M129" s="44"/>
      <c r="N129" s="45">
        <f>R80</f>
        <v>103.90625</v>
      </c>
      <c r="O129" s="44"/>
      <c r="P129" s="64"/>
      <c r="R129" s="6"/>
      <c r="S129" s="9"/>
      <c r="T129" s="11"/>
      <c r="U129" s="11"/>
      <c r="V129" s="11"/>
      <c r="W129" s="11"/>
      <c r="X129" s="11"/>
      <c r="Y129" s="11"/>
      <c r="Z129" s="15">
        <f>V90</f>
        <v>900.9765625</v>
      </c>
      <c r="AB129" s="136"/>
    </row>
    <row r="130" spans="2:28" ht="15">
      <c r="B130" s="66"/>
      <c r="C130" s="58" t="s">
        <v>78</v>
      </c>
      <c r="D130" s="124" t="s">
        <v>81</v>
      </c>
      <c r="E130" s="46">
        <f>V84</f>
        <v>51.953125</v>
      </c>
      <c r="F130" s="64"/>
      <c r="H130" s="58" t="s">
        <v>78</v>
      </c>
      <c r="I130" s="44" t="s">
        <v>81</v>
      </c>
      <c r="J130" s="47">
        <f t="shared" si="1"/>
        <v>8</v>
      </c>
      <c r="K130" s="47">
        <f t="shared" si="1"/>
        <v>130</v>
      </c>
      <c r="L130" s="47">
        <f t="shared" si="1"/>
        <v>400</v>
      </c>
      <c r="M130" s="44"/>
      <c r="N130" s="46">
        <f>V84</f>
        <v>51.953125</v>
      </c>
      <c r="O130" s="44"/>
      <c r="P130" s="64"/>
      <c r="R130" s="6"/>
      <c r="S130" s="9"/>
      <c r="T130" s="11"/>
      <c r="U130" s="11"/>
      <c r="V130" s="11"/>
      <c r="W130" s="11"/>
      <c r="X130" s="11"/>
      <c r="Y130" s="11"/>
      <c r="Z130" s="6"/>
      <c r="AB130" s="136"/>
    </row>
    <row r="131" spans="2:28" ht="15">
      <c r="B131" s="66"/>
      <c r="C131" s="58" t="s">
        <v>79</v>
      </c>
      <c r="D131" s="124" t="s">
        <v>82</v>
      </c>
      <c r="E131" s="46">
        <f>T86</f>
        <v>900.9765625</v>
      </c>
      <c r="F131" s="64"/>
      <c r="H131" s="58" t="s">
        <v>79</v>
      </c>
      <c r="I131" s="44" t="s">
        <v>82</v>
      </c>
      <c r="J131" s="47">
        <f t="shared" si="1"/>
        <v>8</v>
      </c>
      <c r="K131" s="47">
        <f t="shared" si="1"/>
        <v>130</v>
      </c>
      <c r="L131" s="47">
        <f t="shared" si="1"/>
        <v>750</v>
      </c>
      <c r="M131" s="44"/>
      <c r="N131" s="229">
        <f>-T86</f>
        <v>-900.9765625</v>
      </c>
      <c r="O131" s="44"/>
      <c r="P131" s="64"/>
      <c r="R131" s="6"/>
      <c r="S131" s="6"/>
      <c r="T131" s="11"/>
      <c r="U131" s="11"/>
      <c r="V131" s="11"/>
      <c r="W131" s="11"/>
      <c r="X131" s="11"/>
      <c r="Y131" s="11"/>
      <c r="Z131" s="6"/>
      <c r="AB131" s="136"/>
    </row>
    <row r="132" spans="2:28" ht="15">
      <c r="B132" s="66"/>
      <c r="C132" s="58"/>
      <c r="D132" s="124" t="s">
        <v>83</v>
      </c>
      <c r="E132" s="45">
        <f>Q86</f>
        <v>1002.9296875</v>
      </c>
      <c r="F132" s="64"/>
      <c r="H132" s="58"/>
      <c r="I132" s="44" t="s">
        <v>83</v>
      </c>
      <c r="J132" s="47">
        <f t="shared" si="1"/>
        <v>8</v>
      </c>
      <c r="K132" s="47">
        <f t="shared" si="1"/>
        <v>130</v>
      </c>
      <c r="L132" s="47">
        <f t="shared" si="1"/>
        <v>750</v>
      </c>
      <c r="M132" s="44"/>
      <c r="N132" s="230">
        <f>-Q86</f>
        <v>-1002.9296875</v>
      </c>
      <c r="O132" s="44"/>
      <c r="P132" s="64"/>
      <c r="R132" s="6" t="s">
        <v>77</v>
      </c>
      <c r="S132" s="9" t="s">
        <v>38</v>
      </c>
      <c r="T132" s="10">
        <f>T69</f>
        <v>0</v>
      </c>
      <c r="U132" s="11"/>
      <c r="V132" s="9" t="s">
        <v>39</v>
      </c>
      <c r="W132" s="10">
        <f>T69</f>
        <v>0</v>
      </c>
      <c r="X132" s="11"/>
      <c r="Y132" s="10">
        <f>T69+Y46</f>
        <v>0</v>
      </c>
      <c r="Z132" s="6" t="s">
        <v>40</v>
      </c>
      <c r="AB132" s="136"/>
    </row>
    <row r="133" spans="2:28" ht="15">
      <c r="B133" s="66"/>
      <c r="C133" s="58"/>
      <c r="D133" s="124" t="s">
        <v>84</v>
      </c>
      <c r="E133" s="45">
        <f>O83</f>
        <v>2009.765625</v>
      </c>
      <c r="F133" s="64"/>
      <c r="H133" s="58"/>
      <c r="I133" s="44" t="s">
        <v>84</v>
      </c>
      <c r="J133" s="47">
        <f t="shared" si="1"/>
        <v>8</v>
      </c>
      <c r="K133" s="47">
        <f t="shared" si="1"/>
        <v>130</v>
      </c>
      <c r="L133" s="47">
        <f t="shared" si="1"/>
        <v>400</v>
      </c>
      <c r="M133" s="44"/>
      <c r="N133" s="230">
        <f>-O83</f>
        <v>-2009.765625</v>
      </c>
      <c r="O133" s="44"/>
      <c r="P133" s="64"/>
      <c r="R133" s="6"/>
      <c r="S133" s="6"/>
      <c r="T133" s="6"/>
      <c r="U133" s="235">
        <f>Q94</f>
        <v>902.9296875</v>
      </c>
      <c r="V133" s="6"/>
      <c r="W133" s="6"/>
      <c r="X133" s="237">
        <f>T94</f>
        <v>900.9765625</v>
      </c>
      <c r="Y133" s="6"/>
      <c r="Z133" s="6"/>
      <c r="AB133" s="136"/>
    </row>
    <row r="134" spans="2:28" ht="15">
      <c r="B134" s="66"/>
      <c r="C134" s="58"/>
      <c r="D134" s="11"/>
      <c r="E134" s="11"/>
      <c r="F134" s="64"/>
      <c r="H134" s="58"/>
      <c r="I134" s="11"/>
      <c r="J134" s="44" t="s">
        <v>0</v>
      </c>
      <c r="K134" s="44" t="s">
        <v>0</v>
      </c>
      <c r="L134" s="44" t="s">
        <v>0</v>
      </c>
      <c r="M134" s="11"/>
      <c r="N134" s="11"/>
      <c r="O134" s="11"/>
      <c r="P134" s="64"/>
      <c r="R134" s="6"/>
      <c r="S134" s="6"/>
      <c r="T134" s="6"/>
      <c r="U134" s="6"/>
      <c r="V134" s="6"/>
      <c r="W134" s="6"/>
      <c r="X134" s="6"/>
      <c r="Y134" s="6"/>
      <c r="Z134" s="6"/>
      <c r="AB134" s="136"/>
    </row>
    <row r="135" spans="2:28" ht="15">
      <c r="B135" s="66"/>
      <c r="C135" s="57"/>
      <c r="D135" s="124" t="s">
        <v>92</v>
      </c>
      <c r="E135" s="45">
        <f>Q86</f>
        <v>1002.9296875</v>
      </c>
      <c r="F135" s="64"/>
      <c r="H135" s="57"/>
      <c r="I135" s="44" t="s">
        <v>92</v>
      </c>
      <c r="J135" s="47">
        <f aca="true" t="shared" si="2" ref="J135:L138">Q21</f>
        <v>8</v>
      </c>
      <c r="K135" s="47">
        <f t="shared" si="2"/>
        <v>130</v>
      </c>
      <c r="L135" s="47">
        <f t="shared" si="2"/>
        <v>750</v>
      </c>
      <c r="M135" s="44"/>
      <c r="N135" s="45">
        <f>Q86</f>
        <v>1002.9296875</v>
      </c>
      <c r="O135" s="44"/>
      <c r="P135" s="64"/>
      <c r="R135" s="6"/>
      <c r="S135" s="6"/>
      <c r="T135" s="6"/>
      <c r="U135" s="6" t="s">
        <v>239</v>
      </c>
      <c r="V135" s="6"/>
      <c r="W135" s="6"/>
      <c r="X135" s="6"/>
      <c r="Y135" s="6"/>
      <c r="Z135" s="6"/>
      <c r="AB135" s="136"/>
    </row>
    <row r="136" spans="2:28" ht="15">
      <c r="B136" s="66"/>
      <c r="C136" s="58" t="s">
        <v>78</v>
      </c>
      <c r="D136" s="124" t="s">
        <v>93</v>
      </c>
      <c r="E136" s="44">
        <f>S89</f>
        <v>50</v>
      </c>
      <c r="F136" s="64"/>
      <c r="H136" s="58" t="s">
        <v>78</v>
      </c>
      <c r="I136" s="44" t="s">
        <v>93</v>
      </c>
      <c r="J136" s="47">
        <f t="shared" si="2"/>
        <v>8</v>
      </c>
      <c r="K136" s="47">
        <f t="shared" si="2"/>
        <v>130</v>
      </c>
      <c r="L136" s="47">
        <f t="shared" si="2"/>
        <v>800</v>
      </c>
      <c r="M136" s="44"/>
      <c r="N136" s="44">
        <f>S89</f>
        <v>50</v>
      </c>
      <c r="O136" s="44"/>
      <c r="P136" s="64"/>
      <c r="W136" s="6"/>
      <c r="X136" s="6"/>
      <c r="Y136" s="6"/>
      <c r="Z136" s="6"/>
      <c r="AB136" s="136"/>
    </row>
    <row r="137" spans="2:28" ht="15">
      <c r="B137" s="66"/>
      <c r="C137" s="58" t="s">
        <v>91</v>
      </c>
      <c r="D137" s="124" t="s">
        <v>94</v>
      </c>
      <c r="E137" s="227">
        <f>Q94</f>
        <v>902.9296875</v>
      </c>
      <c r="F137" s="64"/>
      <c r="H137" s="58" t="s">
        <v>91</v>
      </c>
      <c r="I137" s="44" t="s">
        <v>94</v>
      </c>
      <c r="J137" s="47">
        <f t="shared" si="2"/>
        <v>8</v>
      </c>
      <c r="K137" s="47">
        <f t="shared" si="2"/>
        <v>130</v>
      </c>
      <c r="L137" s="47">
        <f t="shared" si="2"/>
        <v>750</v>
      </c>
      <c r="M137" s="44"/>
      <c r="N137" s="231">
        <f>-Q94</f>
        <v>-902.9296875</v>
      </c>
      <c r="O137" s="44"/>
      <c r="P137" s="64"/>
      <c r="W137" s="6"/>
      <c r="X137" s="6"/>
      <c r="Y137" s="6"/>
      <c r="Z137" s="6"/>
      <c r="AB137" s="136"/>
    </row>
    <row r="138" spans="2:28" ht="15">
      <c r="B138" s="66"/>
      <c r="C138" s="58"/>
      <c r="D138" s="124" t="s">
        <v>95</v>
      </c>
      <c r="E138" s="45">
        <f>O89</f>
        <v>954.8828125</v>
      </c>
      <c r="F138" s="64"/>
      <c r="H138" s="58"/>
      <c r="I138" s="44" t="s">
        <v>95</v>
      </c>
      <c r="J138" s="47">
        <f t="shared" si="2"/>
        <v>8</v>
      </c>
      <c r="K138" s="47">
        <f t="shared" si="2"/>
        <v>130</v>
      </c>
      <c r="L138" s="47">
        <f t="shared" si="2"/>
        <v>800</v>
      </c>
      <c r="M138" s="44"/>
      <c r="N138" s="230">
        <f>-O89</f>
        <v>-954.8828125</v>
      </c>
      <c r="O138" s="44"/>
      <c r="P138" s="64"/>
      <c r="W138" s="6"/>
      <c r="X138" s="6"/>
      <c r="Y138" s="6"/>
      <c r="Z138" s="6"/>
      <c r="AB138" s="136"/>
    </row>
    <row r="139" spans="2:28" ht="15">
      <c r="B139" s="66"/>
      <c r="C139" s="58"/>
      <c r="D139" s="11"/>
      <c r="E139" s="11"/>
      <c r="F139" s="64"/>
      <c r="H139" s="58"/>
      <c r="I139" s="11"/>
      <c r="J139" s="44" t="s">
        <v>0</v>
      </c>
      <c r="K139" s="44" t="s">
        <v>0</v>
      </c>
      <c r="L139" s="44" t="s">
        <v>0</v>
      </c>
      <c r="M139" s="44" t="s">
        <v>0</v>
      </c>
      <c r="N139" s="11"/>
      <c r="O139" s="11"/>
      <c r="P139" s="64"/>
      <c r="W139" s="6"/>
      <c r="X139" s="6"/>
      <c r="Y139" s="6"/>
      <c r="Z139" s="6"/>
      <c r="AB139" s="136"/>
    </row>
    <row r="140" spans="2:28" ht="15">
      <c r="B140" s="66"/>
      <c r="C140" s="58"/>
      <c r="D140" s="124" t="s">
        <v>97</v>
      </c>
      <c r="E140" s="46">
        <f>T86</f>
        <v>900.9765625</v>
      </c>
      <c r="F140" s="64"/>
      <c r="H140" s="58"/>
      <c r="I140" s="44" t="s">
        <v>97</v>
      </c>
      <c r="J140" s="47">
        <f aca="true" t="shared" si="3" ref="J140:L143">Q26</f>
        <v>8</v>
      </c>
      <c r="K140" s="47">
        <f t="shared" si="3"/>
        <v>130</v>
      </c>
      <c r="L140" s="47">
        <f t="shared" si="3"/>
        <v>750</v>
      </c>
      <c r="M140" s="44"/>
      <c r="N140" s="46">
        <f>T86</f>
        <v>900.9765625</v>
      </c>
      <c r="O140" s="44"/>
      <c r="P140" s="64"/>
      <c r="W140" s="6"/>
      <c r="X140" s="6"/>
      <c r="Y140" s="6"/>
      <c r="Z140" s="6"/>
      <c r="AB140" s="136"/>
    </row>
    <row r="141" spans="2:28" ht="15">
      <c r="B141" s="66"/>
      <c r="C141" s="58" t="s">
        <v>78</v>
      </c>
      <c r="D141" s="124" t="s">
        <v>98</v>
      </c>
      <c r="E141" s="46">
        <f>V90</f>
        <v>900.9765625</v>
      </c>
      <c r="F141" s="64"/>
      <c r="H141" s="58" t="s">
        <v>78</v>
      </c>
      <c r="I141" s="44" t="s">
        <v>98</v>
      </c>
      <c r="J141" s="47">
        <f t="shared" si="3"/>
        <v>8</v>
      </c>
      <c r="K141" s="47">
        <f t="shared" si="3"/>
        <v>130</v>
      </c>
      <c r="L141" s="47">
        <f t="shared" si="3"/>
        <v>800</v>
      </c>
      <c r="M141" s="44"/>
      <c r="N141" s="46">
        <f>V90</f>
        <v>900.9765625</v>
      </c>
      <c r="O141" s="44"/>
      <c r="P141" s="64"/>
      <c r="W141" s="6"/>
      <c r="X141" s="6"/>
      <c r="Y141" s="6"/>
      <c r="Z141" s="6"/>
      <c r="AB141" s="136"/>
    </row>
    <row r="142" spans="2:28" ht="15">
      <c r="B142" s="66"/>
      <c r="C142" s="58" t="s">
        <v>96</v>
      </c>
      <c r="D142" s="124" t="s">
        <v>99</v>
      </c>
      <c r="E142" s="46">
        <f>T94</f>
        <v>900.9765625</v>
      </c>
      <c r="F142" s="64"/>
      <c r="H142" s="58" t="s">
        <v>96</v>
      </c>
      <c r="I142" s="44" t="s">
        <v>99</v>
      </c>
      <c r="J142" s="47">
        <f t="shared" si="3"/>
        <v>8</v>
      </c>
      <c r="K142" s="47">
        <f t="shared" si="3"/>
        <v>130</v>
      </c>
      <c r="L142" s="47">
        <f t="shared" si="3"/>
        <v>750</v>
      </c>
      <c r="M142" s="44"/>
      <c r="N142" s="232">
        <f>-T94</f>
        <v>-900.9765625</v>
      </c>
      <c r="O142" s="44"/>
      <c r="P142" s="64"/>
      <c r="W142" s="6"/>
      <c r="X142" s="6"/>
      <c r="Y142" s="6"/>
      <c r="Z142" s="6"/>
      <c r="AB142" s="136"/>
    </row>
    <row r="143" spans="2:28" ht="15">
      <c r="B143" s="66"/>
      <c r="C143" s="58"/>
      <c r="D143" s="124" t="s">
        <v>100</v>
      </c>
      <c r="E143" s="44">
        <f>S89</f>
        <v>50</v>
      </c>
      <c r="F143" s="64"/>
      <c r="H143" s="58"/>
      <c r="I143" s="44" t="s">
        <v>100</v>
      </c>
      <c r="J143" s="47">
        <f t="shared" si="3"/>
        <v>8</v>
      </c>
      <c r="K143" s="47">
        <f t="shared" si="3"/>
        <v>130</v>
      </c>
      <c r="L143" s="47">
        <f t="shared" si="3"/>
        <v>800</v>
      </c>
      <c r="M143" s="44"/>
      <c r="N143" s="233">
        <f>-S89</f>
        <v>-50</v>
      </c>
      <c r="O143" s="44"/>
      <c r="P143" s="64"/>
      <c r="W143" s="6"/>
      <c r="X143" s="6"/>
      <c r="Y143" s="6"/>
      <c r="Z143" s="6"/>
      <c r="AB143" s="136"/>
    </row>
    <row r="144" spans="2:28" ht="15">
      <c r="B144" s="66"/>
      <c r="C144" s="58"/>
      <c r="D144" s="11"/>
      <c r="E144" s="49"/>
      <c r="F144" s="64"/>
      <c r="H144" s="58"/>
      <c r="I144" s="11"/>
      <c r="J144" s="11"/>
      <c r="K144" s="11"/>
      <c r="L144" s="11"/>
      <c r="M144" s="11"/>
      <c r="N144" s="11"/>
      <c r="O144" s="11"/>
      <c r="P144" s="64"/>
      <c r="W144" s="6"/>
      <c r="X144" s="6"/>
      <c r="Y144" s="6"/>
      <c r="Z144" s="6"/>
      <c r="AB144" s="136"/>
    </row>
    <row r="145" spans="2:28" ht="15">
      <c r="B145" s="26"/>
      <c r="C145" s="57"/>
      <c r="D145" s="226" t="s">
        <v>159</v>
      </c>
      <c r="E145" s="228">
        <f>K106</f>
        <v>2113.671875</v>
      </c>
      <c r="F145" s="63"/>
      <c r="H145" s="57"/>
      <c r="I145" s="70" t="s">
        <v>159</v>
      </c>
      <c r="J145" s="47">
        <f>Q31</f>
        <v>8</v>
      </c>
      <c r="K145" s="47">
        <f>R31</f>
        <v>130</v>
      </c>
      <c r="L145" s="47">
        <f>S31</f>
        <v>100</v>
      </c>
      <c r="M145" s="101"/>
      <c r="N145" s="101"/>
      <c r="O145" s="101"/>
      <c r="P145" s="63"/>
      <c r="W145" s="6"/>
      <c r="X145" s="6"/>
      <c r="Y145" s="6"/>
      <c r="Z145" s="6"/>
      <c r="AB145" s="136"/>
    </row>
    <row r="146" spans="2:28" ht="15.75" thickBot="1">
      <c r="B146" s="26"/>
      <c r="C146" s="61"/>
      <c r="D146" s="180"/>
      <c r="E146" s="180"/>
      <c r="F146" s="181"/>
      <c r="H146" s="61"/>
      <c r="I146" s="180"/>
      <c r="J146" s="180"/>
      <c r="K146" s="180"/>
      <c r="L146" s="180"/>
      <c r="M146" s="180"/>
      <c r="N146" s="180"/>
      <c r="O146" s="180"/>
      <c r="P146" s="181"/>
      <c r="W146" s="6"/>
      <c r="X146" s="6"/>
      <c r="Y146" s="6"/>
      <c r="Z146" s="6"/>
      <c r="AB146" s="136"/>
    </row>
    <row r="147" spans="1:28" ht="15.75" thickTop="1">
      <c r="A147" s="1"/>
      <c r="B147" s="66"/>
      <c r="H147" s="11"/>
      <c r="I147" s="11"/>
      <c r="J147" s="11"/>
      <c r="K147" s="11"/>
      <c r="L147" s="11"/>
      <c r="M147" s="11"/>
      <c r="N147" s="11"/>
      <c r="O147" s="11"/>
      <c r="P147" s="11"/>
      <c r="W147" s="6"/>
      <c r="X147" s="6"/>
      <c r="Y147" s="6"/>
      <c r="Z147" s="6"/>
      <c r="AB147" s="136"/>
    </row>
    <row r="148" spans="1:28" ht="15">
      <c r="A148" s="1"/>
      <c r="B148" s="66"/>
      <c r="C148" s="11" t="s">
        <v>171</v>
      </c>
      <c r="D148" s="11" t="s">
        <v>237</v>
      </c>
      <c r="K148" s="6"/>
      <c r="L148" s="6"/>
      <c r="M148" s="6"/>
      <c r="N148" s="6"/>
      <c r="O148" s="6"/>
      <c r="P148" s="6"/>
      <c r="W148" s="6"/>
      <c r="X148" s="6"/>
      <c r="Y148" s="6"/>
      <c r="Z148" s="6"/>
      <c r="AB148" s="136"/>
    </row>
    <row r="149" spans="1:28" ht="15">
      <c r="A149" s="1"/>
      <c r="B149" s="66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6"/>
      <c r="U149" s="6"/>
      <c r="V149" s="6"/>
      <c r="W149" s="6"/>
      <c r="X149" s="6"/>
      <c r="Y149" s="6"/>
      <c r="Z149" s="6"/>
      <c r="AB149" s="136"/>
    </row>
    <row r="150" spans="1:28" ht="15.75" thickBot="1">
      <c r="A150" s="1"/>
      <c r="B150" s="6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30"/>
      <c r="U150" s="30"/>
      <c r="V150" s="30"/>
      <c r="W150" s="30"/>
      <c r="X150" s="30"/>
      <c r="Y150" s="30"/>
      <c r="Z150" s="30"/>
      <c r="AA150" s="30"/>
      <c r="AB150" s="137"/>
    </row>
    <row r="151" spans="1:19" ht="15.75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28" ht="15.75" thickTop="1">
      <c r="A154" s="1"/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28"/>
      <c r="U154" s="28"/>
      <c r="V154" s="28"/>
      <c r="W154" s="28"/>
      <c r="X154" s="28"/>
      <c r="Y154" s="28"/>
      <c r="Z154" s="28"/>
      <c r="AA154" s="28"/>
      <c r="AB154" s="135">
        <v>5</v>
      </c>
    </row>
    <row r="155" spans="1:28" ht="15.75">
      <c r="A155" s="1"/>
      <c r="B155" s="66"/>
      <c r="C155" s="238" t="s">
        <v>241</v>
      </c>
      <c r="D155" s="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6"/>
      <c r="U155" s="6"/>
      <c r="V155" s="6"/>
      <c r="W155" s="6"/>
      <c r="X155" s="6"/>
      <c r="Y155" s="6"/>
      <c r="Z155" s="6"/>
      <c r="AA155" s="6"/>
      <c r="AB155" s="136"/>
    </row>
    <row r="156" spans="1:28" ht="15.75">
      <c r="A156" s="1"/>
      <c r="B156" s="66"/>
      <c r="C156" s="65" t="s">
        <v>0</v>
      </c>
      <c r="D156" s="6"/>
      <c r="E156" s="11" t="s"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6"/>
      <c r="U156" s="6"/>
      <c r="V156" s="6"/>
      <c r="W156" s="6"/>
      <c r="X156" s="6"/>
      <c r="Y156" s="6"/>
      <c r="Z156" s="6"/>
      <c r="AA156" s="6"/>
      <c r="AB156" s="136"/>
    </row>
    <row r="157" spans="1:28" ht="15">
      <c r="A157" s="1"/>
      <c r="B157" s="66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6"/>
      <c r="U157" s="6"/>
      <c r="V157" s="6"/>
      <c r="W157" s="6"/>
      <c r="X157" s="6"/>
      <c r="Y157" s="6"/>
      <c r="Z157" s="6"/>
      <c r="AA157" s="6"/>
      <c r="AB157" s="136"/>
    </row>
    <row r="158" spans="2:28" ht="15">
      <c r="B158" s="2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136"/>
    </row>
    <row r="159" spans="2:28" ht="15">
      <c r="B159" s="26"/>
      <c r="C159" s="19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136"/>
    </row>
    <row r="160" spans="2:28" ht="15">
      <c r="B160" s="2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136"/>
    </row>
    <row r="161" spans="2:28" ht="15">
      <c r="B161" s="26"/>
      <c r="C161" s="6"/>
      <c r="D161" s="6"/>
      <c r="E161" s="6"/>
      <c r="F161" s="6"/>
      <c r="G161" s="6"/>
      <c r="H161" s="6"/>
      <c r="I161" s="6"/>
      <c r="J161" s="6"/>
      <c r="K161" s="6" t="s">
        <v>113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136"/>
    </row>
    <row r="162" spans="2:28" ht="15">
      <c r="B162" s="2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136"/>
    </row>
    <row r="163" spans="2:28" ht="15">
      <c r="B163" s="2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136"/>
    </row>
    <row r="164" spans="2:28" ht="15">
      <c r="B164" s="2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136"/>
    </row>
    <row r="165" spans="2:28" ht="15">
      <c r="B165" s="2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136"/>
    </row>
    <row r="166" spans="2:28" ht="15">
      <c r="B166" s="2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136"/>
    </row>
    <row r="167" spans="2:28" ht="15">
      <c r="B167" s="2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136"/>
    </row>
    <row r="168" spans="2:28" ht="15">
      <c r="B168" s="2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136"/>
    </row>
    <row r="169" spans="2:28" ht="15">
      <c r="B169" s="2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136"/>
    </row>
    <row r="170" spans="2:28" ht="15">
      <c r="B170" s="2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136"/>
    </row>
    <row r="171" spans="2:28" ht="15">
      <c r="B171" s="2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136"/>
    </row>
    <row r="172" spans="2:28" ht="15">
      <c r="B172" s="2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136"/>
    </row>
    <row r="173" spans="2:28" ht="15">
      <c r="B173" s="2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136"/>
    </row>
    <row r="174" spans="2:28" ht="15">
      <c r="B174" s="2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136"/>
    </row>
    <row r="175" spans="2:28" ht="15">
      <c r="B175" s="2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136"/>
    </row>
    <row r="176" spans="2:28" ht="15">
      <c r="B176" s="2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136"/>
    </row>
    <row r="177" spans="2:28" ht="15">
      <c r="B177" s="2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136"/>
    </row>
    <row r="178" spans="2:28" ht="15">
      <c r="B178" s="2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136"/>
    </row>
    <row r="179" spans="2:28" ht="15">
      <c r="B179" s="2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136"/>
    </row>
    <row r="180" spans="2:28" ht="15">
      <c r="B180" s="2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136"/>
    </row>
    <row r="181" spans="2:28" ht="15">
      <c r="B181" s="2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136"/>
    </row>
    <row r="182" spans="2:28" ht="15">
      <c r="B182" s="2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136"/>
    </row>
    <row r="183" spans="2:28" ht="15">
      <c r="B183" s="2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136"/>
    </row>
    <row r="184" spans="2:28" ht="15">
      <c r="B184" s="2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136"/>
    </row>
    <row r="185" spans="2:28" ht="15">
      <c r="B185" s="2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136"/>
    </row>
    <row r="186" spans="2:28" ht="15">
      <c r="B186" s="2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136"/>
    </row>
    <row r="187" spans="2:28" ht="15">
      <c r="B187" s="2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136"/>
    </row>
    <row r="188" spans="2:28" ht="15">
      <c r="B188" s="2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136"/>
    </row>
    <row r="189" spans="2:28" ht="15.75" thickBot="1"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137"/>
    </row>
    <row r="190" ht="15.75" thickTop="1"/>
    <row r="191" ht="15.75" thickBot="1"/>
    <row r="192" spans="2:28" ht="15.75" thickTop="1">
      <c r="B192" s="27"/>
      <c r="C192" s="28"/>
      <c r="D192" s="28"/>
      <c r="E192" s="28"/>
      <c r="F192" s="28"/>
      <c r="AB192" s="134">
        <v>6</v>
      </c>
    </row>
    <row r="193" spans="2:30" ht="16.5" thickBot="1">
      <c r="B193" s="223"/>
      <c r="C193" s="155" t="s">
        <v>242</v>
      </c>
      <c r="S193" s="48"/>
      <c r="T193" s="48"/>
      <c r="U193" s="48"/>
      <c r="V193" s="48"/>
      <c r="W193" s="48"/>
      <c r="X193" s="48"/>
      <c r="Y193" s="48"/>
      <c r="Z193" s="48"/>
      <c r="AA193" s="48"/>
      <c r="AB193" s="154" t="s">
        <v>0</v>
      </c>
      <c r="AC193" s="48"/>
      <c r="AD193" s="48"/>
    </row>
    <row r="194" spans="2:30" ht="16.5" thickBot="1" thickTop="1">
      <c r="B194" s="26"/>
      <c r="D194" s="48"/>
      <c r="E194" s="48"/>
      <c r="F194" s="48"/>
      <c r="G194" s="48"/>
      <c r="H194" t="s">
        <v>175</v>
      </c>
      <c r="P194" s="48"/>
      <c r="Q194" s="48"/>
      <c r="R194" s="48"/>
      <c r="S194" s="6"/>
      <c r="U194" s="141" t="s">
        <v>115</v>
      </c>
      <c r="V194" s="142">
        <v>1.85</v>
      </c>
      <c r="X194" s="240" t="s">
        <v>124</v>
      </c>
      <c r="Y194" s="6"/>
      <c r="Z194" s="6"/>
      <c r="AA194" s="6"/>
      <c r="AB194" s="138"/>
      <c r="AC194" s="6"/>
      <c r="AD194" s="6"/>
    </row>
    <row r="195" spans="2:30" ht="15.75" thickTop="1">
      <c r="B195" s="26"/>
      <c r="H195" t="s">
        <v>176</v>
      </c>
      <c r="S195" s="6"/>
      <c r="X195" s="6" t="s">
        <v>125</v>
      </c>
      <c r="Y195" s="6"/>
      <c r="Z195" s="6"/>
      <c r="AA195" s="6"/>
      <c r="AB195" s="138"/>
      <c r="AC195" s="6"/>
      <c r="AD195" s="6"/>
    </row>
    <row r="196" spans="2:30" ht="15">
      <c r="B196" s="26"/>
      <c r="H196" t="s">
        <v>243</v>
      </c>
      <c r="R196" s="6"/>
      <c r="S196" s="6"/>
      <c r="X196" t="s">
        <v>126</v>
      </c>
      <c r="Y196" s="6"/>
      <c r="Z196" s="6"/>
      <c r="AA196" s="6"/>
      <c r="AB196" s="138"/>
      <c r="AC196" s="6"/>
      <c r="AD196" s="6"/>
    </row>
    <row r="197" spans="2:30" ht="18.75">
      <c r="B197" s="26"/>
      <c r="H197" t="s">
        <v>172</v>
      </c>
      <c r="R197" s="6"/>
      <c r="S197" s="6"/>
      <c r="X197" s="9" t="s">
        <v>127</v>
      </c>
      <c r="Y197" s="6" t="s">
        <v>251</v>
      </c>
      <c r="Z197" s="6"/>
      <c r="AA197" s="6"/>
      <c r="AB197" s="138"/>
      <c r="AC197" s="6"/>
      <c r="AD197" s="6"/>
    </row>
    <row r="198" spans="2:30" ht="15">
      <c r="B198" s="26"/>
      <c r="R198" s="6"/>
      <c r="S198" s="6"/>
      <c r="AA198" s="6"/>
      <c r="AB198" s="138"/>
      <c r="AC198" s="6"/>
      <c r="AD198" s="6"/>
    </row>
    <row r="199" spans="2:30" ht="15">
      <c r="B199" s="26"/>
      <c r="C199" s="6"/>
      <c r="D199" s="51" t="s">
        <v>174</v>
      </c>
      <c r="E199" s="52"/>
      <c r="F199" s="52"/>
      <c r="G199" s="52"/>
      <c r="H199" s="52"/>
      <c r="I199" s="52"/>
      <c r="J199" s="52"/>
      <c r="K199" s="55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AB199" s="138"/>
      <c r="AC199" s="6"/>
      <c r="AD199" s="6"/>
    </row>
    <row r="200" spans="2:30" ht="15">
      <c r="B200" s="26"/>
      <c r="C200" s="6"/>
      <c r="D200" s="34" t="s">
        <v>85</v>
      </c>
      <c r="E200" s="11" t="s">
        <v>86</v>
      </c>
      <c r="F200" s="11" t="s">
        <v>41</v>
      </c>
      <c r="G200" s="11" t="s">
        <v>87</v>
      </c>
      <c r="H200" s="11" t="s">
        <v>88</v>
      </c>
      <c r="I200" s="11" t="s">
        <v>89</v>
      </c>
      <c r="J200" s="11" t="s">
        <v>90</v>
      </c>
      <c r="K200" s="95" t="s">
        <v>116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138"/>
      <c r="AC200" s="6"/>
      <c r="AD200" s="6"/>
    </row>
    <row r="201" spans="2:30" ht="15">
      <c r="B201" s="26"/>
      <c r="C201" s="6"/>
      <c r="D201" s="50"/>
      <c r="E201" s="6"/>
      <c r="F201" s="6"/>
      <c r="G201" s="6"/>
      <c r="H201" s="49" t="s">
        <v>114</v>
      </c>
      <c r="I201" s="48"/>
      <c r="J201" s="6" t="s">
        <v>117</v>
      </c>
      <c r="K201" s="56" t="s">
        <v>118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138"/>
      <c r="AC201" s="6"/>
      <c r="AD201" s="6"/>
    </row>
    <row r="202" spans="2:30" ht="15">
      <c r="B202" s="26"/>
      <c r="C202" s="6"/>
      <c r="D202" s="37" t="s">
        <v>101</v>
      </c>
      <c r="E202" s="53">
        <f>J123</f>
        <v>8</v>
      </c>
      <c r="F202" s="53">
        <f>K123</f>
        <v>130</v>
      </c>
      <c r="G202" s="53">
        <f>L123</f>
        <v>100</v>
      </c>
      <c r="H202" s="143">
        <f>10.48*G202/(F202^1.85*E202^4.87)</f>
        <v>5.1465695273026196E-06</v>
      </c>
      <c r="I202" s="140">
        <f>N123</f>
        <v>2113.671875</v>
      </c>
      <c r="J202" s="144">
        <f>IF(I202&lt;0,-H202*ABS(I202)^1.85,H202*ABS(I202)^1.85)</f>
        <v>7.29184361869022</v>
      </c>
      <c r="K202" s="145">
        <f>1.85*ABS(J202/I202)</f>
        <v>0.006382216111276452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138" t="s">
        <v>0</v>
      </c>
      <c r="AC202" s="6"/>
      <c r="AD202" s="6"/>
    </row>
    <row r="203" spans="2:30" ht="15.75" thickBot="1">
      <c r="B203" s="26"/>
      <c r="K203" s="7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138"/>
      <c r="AC203" s="6"/>
      <c r="AD203" s="30"/>
    </row>
    <row r="204" spans="2:56" ht="15.75" thickTop="1">
      <c r="B204" s="26"/>
      <c r="C204" s="27"/>
      <c r="D204" s="156">
        <v>1</v>
      </c>
      <c r="E204" s="157" t="s">
        <v>129</v>
      </c>
      <c r="F204" s="157"/>
      <c r="G204" s="157"/>
      <c r="H204" s="157"/>
      <c r="I204" s="157"/>
      <c r="J204" s="157"/>
      <c r="K204" s="158"/>
      <c r="L204" s="159"/>
      <c r="M204" s="156">
        <f>D204+1</f>
        <v>2</v>
      </c>
      <c r="N204" s="157" t="s">
        <v>129</v>
      </c>
      <c r="O204" s="157"/>
      <c r="P204" s="159"/>
      <c r="Q204" s="156">
        <f>M204+1</f>
        <v>3</v>
      </c>
      <c r="R204" s="157" t="s">
        <v>129</v>
      </c>
      <c r="S204" s="157"/>
      <c r="T204" s="159"/>
      <c r="U204" s="156">
        <f>Q204+1</f>
        <v>4</v>
      </c>
      <c r="V204" s="157" t="s">
        <v>129</v>
      </c>
      <c r="W204" s="157"/>
      <c r="X204" s="159"/>
      <c r="Y204" s="156">
        <f>U204+1</f>
        <v>5</v>
      </c>
      <c r="Z204" s="157" t="s">
        <v>129</v>
      </c>
      <c r="AA204" s="157"/>
      <c r="AB204" s="160"/>
      <c r="AC204" s="156">
        <f>Y204+1</f>
        <v>6</v>
      </c>
      <c r="AD204" s="157" t="s">
        <v>129</v>
      </c>
      <c r="AE204" s="157"/>
      <c r="AF204" s="159"/>
      <c r="AG204" s="156">
        <f>AC204+1</f>
        <v>7</v>
      </c>
      <c r="AH204" s="157" t="s">
        <v>129</v>
      </c>
      <c r="AI204" s="157"/>
      <c r="AJ204" s="159"/>
      <c r="AK204" s="156">
        <f>AG204+1</f>
        <v>8</v>
      </c>
      <c r="AL204" s="157" t="s">
        <v>129</v>
      </c>
      <c r="AM204" s="157"/>
      <c r="AN204" s="159"/>
      <c r="AO204" s="156">
        <f>AK204+1</f>
        <v>9</v>
      </c>
      <c r="AP204" s="157" t="s">
        <v>129</v>
      </c>
      <c r="AQ204" s="157"/>
      <c r="AR204" s="159"/>
      <c r="AS204" s="156">
        <f>AO204+1</f>
        <v>10</v>
      </c>
      <c r="AT204" s="157" t="s">
        <v>129</v>
      </c>
      <c r="AU204" s="157"/>
      <c r="AV204" s="159"/>
      <c r="AW204" s="156">
        <f>AS204+1</f>
        <v>11</v>
      </c>
      <c r="AX204" s="157" t="s">
        <v>129</v>
      </c>
      <c r="AY204" s="157"/>
      <c r="AZ204" s="159"/>
      <c r="BA204" s="156">
        <f>AW204+1</f>
        <v>12</v>
      </c>
      <c r="BB204" s="157" t="s">
        <v>129</v>
      </c>
      <c r="BC204" s="157"/>
      <c r="BD204" s="167"/>
    </row>
    <row r="205" spans="2:56" ht="18">
      <c r="B205" s="26"/>
      <c r="C205" s="26"/>
      <c r="D205" s="34" t="s">
        <v>85</v>
      </c>
      <c r="E205" s="11" t="s">
        <v>86</v>
      </c>
      <c r="F205" s="11" t="s">
        <v>41</v>
      </c>
      <c r="G205" s="11" t="s">
        <v>87</v>
      </c>
      <c r="H205" s="11" t="s">
        <v>88</v>
      </c>
      <c r="I205" s="11" t="s">
        <v>89</v>
      </c>
      <c r="J205" s="11" t="s">
        <v>90</v>
      </c>
      <c r="K205" s="77" t="s">
        <v>116</v>
      </c>
      <c r="L205" s="49" t="s">
        <v>119</v>
      </c>
      <c r="M205" s="96" t="s">
        <v>121</v>
      </c>
      <c r="N205" s="11" t="s">
        <v>90</v>
      </c>
      <c r="O205" s="77" t="s">
        <v>116</v>
      </c>
      <c r="P205" s="95" t="s">
        <v>122</v>
      </c>
      <c r="Q205" s="96" t="s">
        <v>121</v>
      </c>
      <c r="R205" s="11" t="s">
        <v>90</v>
      </c>
      <c r="S205" s="77" t="s">
        <v>116</v>
      </c>
      <c r="T205" s="95" t="s">
        <v>122</v>
      </c>
      <c r="U205" s="96" t="s">
        <v>121</v>
      </c>
      <c r="V205" s="11" t="s">
        <v>90</v>
      </c>
      <c r="W205" s="77" t="s">
        <v>116</v>
      </c>
      <c r="X205" s="95" t="s">
        <v>122</v>
      </c>
      <c r="Y205" s="96" t="s">
        <v>121</v>
      </c>
      <c r="Z205" s="11" t="s">
        <v>90</v>
      </c>
      <c r="AA205" s="77" t="s">
        <v>116</v>
      </c>
      <c r="AB205" s="146" t="s">
        <v>173</v>
      </c>
      <c r="AC205" s="96" t="s">
        <v>121</v>
      </c>
      <c r="AD205" s="11" t="s">
        <v>90</v>
      </c>
      <c r="AE205" s="77" t="s">
        <v>116</v>
      </c>
      <c r="AF205" s="95" t="s">
        <v>122</v>
      </c>
      <c r="AG205" s="96" t="s">
        <v>121</v>
      </c>
      <c r="AH205" s="11" t="s">
        <v>90</v>
      </c>
      <c r="AI205" s="77" t="s">
        <v>116</v>
      </c>
      <c r="AJ205" s="95" t="s">
        <v>122</v>
      </c>
      <c r="AK205" s="96" t="s">
        <v>121</v>
      </c>
      <c r="AL205" s="11" t="s">
        <v>90</v>
      </c>
      <c r="AM205" s="77" t="s">
        <v>116</v>
      </c>
      <c r="AN205" s="95" t="s">
        <v>122</v>
      </c>
      <c r="AO205" s="96" t="s">
        <v>121</v>
      </c>
      <c r="AP205" s="11" t="s">
        <v>90</v>
      </c>
      <c r="AQ205" s="77" t="s">
        <v>116</v>
      </c>
      <c r="AR205" s="95" t="s">
        <v>122</v>
      </c>
      <c r="AS205" s="96" t="s">
        <v>121</v>
      </c>
      <c r="AT205" s="11" t="s">
        <v>90</v>
      </c>
      <c r="AU205" s="77" t="s">
        <v>116</v>
      </c>
      <c r="AV205" s="95" t="s">
        <v>122</v>
      </c>
      <c r="AW205" s="96" t="s">
        <v>121</v>
      </c>
      <c r="AX205" s="11" t="s">
        <v>90</v>
      </c>
      <c r="AY205" s="77" t="s">
        <v>116</v>
      </c>
      <c r="AZ205" s="95" t="s">
        <v>122</v>
      </c>
      <c r="BA205" s="96" t="s">
        <v>121</v>
      </c>
      <c r="BB205" s="11" t="s">
        <v>90</v>
      </c>
      <c r="BC205" s="77" t="s">
        <v>116</v>
      </c>
      <c r="BD205" s="115" t="s">
        <v>122</v>
      </c>
    </row>
    <row r="206" spans="2:56" ht="15">
      <c r="B206" s="26"/>
      <c r="C206" s="66"/>
      <c r="D206" s="94"/>
      <c r="E206" s="88"/>
      <c r="F206" s="88"/>
      <c r="G206" s="88"/>
      <c r="H206" s="38" t="s">
        <v>114</v>
      </c>
      <c r="I206" s="88"/>
      <c r="J206" s="88" t="s">
        <v>117</v>
      </c>
      <c r="K206" s="88" t="s">
        <v>118</v>
      </c>
      <c r="L206" s="88"/>
      <c r="M206" s="34" t="s">
        <v>123</v>
      </c>
      <c r="N206" s="11" t="s">
        <v>117</v>
      </c>
      <c r="O206" s="11" t="s">
        <v>118</v>
      </c>
      <c r="P206" s="40"/>
      <c r="Q206" s="34" t="s">
        <v>123</v>
      </c>
      <c r="R206" s="11" t="s">
        <v>117</v>
      </c>
      <c r="S206" s="11" t="s">
        <v>118</v>
      </c>
      <c r="T206" s="40"/>
      <c r="U206" s="34" t="s">
        <v>123</v>
      </c>
      <c r="V206" s="11" t="s">
        <v>117</v>
      </c>
      <c r="W206" s="11" t="s">
        <v>118</v>
      </c>
      <c r="X206" s="40"/>
      <c r="Y206" s="34" t="s">
        <v>123</v>
      </c>
      <c r="Z206" s="11" t="s">
        <v>117</v>
      </c>
      <c r="AA206" s="11" t="s">
        <v>118</v>
      </c>
      <c r="AB206" s="147"/>
      <c r="AC206" s="34" t="s">
        <v>123</v>
      </c>
      <c r="AD206" s="11" t="s">
        <v>117</v>
      </c>
      <c r="AE206" s="11" t="s">
        <v>118</v>
      </c>
      <c r="AF206" s="40"/>
      <c r="AG206" s="34" t="s">
        <v>123</v>
      </c>
      <c r="AH206" s="11" t="s">
        <v>117</v>
      </c>
      <c r="AI206" s="11" t="s">
        <v>118</v>
      </c>
      <c r="AJ206" s="40"/>
      <c r="AK206" s="34" t="s">
        <v>123</v>
      </c>
      <c r="AL206" s="11" t="s">
        <v>117</v>
      </c>
      <c r="AM206" s="11" t="s">
        <v>118</v>
      </c>
      <c r="AN206" s="40"/>
      <c r="AO206" s="34" t="s">
        <v>123</v>
      </c>
      <c r="AP206" s="11" t="s">
        <v>117</v>
      </c>
      <c r="AQ206" s="11" t="s">
        <v>118</v>
      </c>
      <c r="AR206" s="40"/>
      <c r="AS206" s="34" t="s">
        <v>123</v>
      </c>
      <c r="AT206" s="11" t="s">
        <v>117</v>
      </c>
      <c r="AU206" s="11" t="s">
        <v>118</v>
      </c>
      <c r="AV206" s="40"/>
      <c r="AW206" s="34" t="s">
        <v>123</v>
      </c>
      <c r="AX206" s="11" t="s">
        <v>117</v>
      </c>
      <c r="AY206" s="11" t="s">
        <v>118</v>
      </c>
      <c r="AZ206" s="40"/>
      <c r="BA206" s="34" t="s">
        <v>123</v>
      </c>
      <c r="BB206" s="11" t="s">
        <v>117</v>
      </c>
      <c r="BC206" s="11" t="s">
        <v>118</v>
      </c>
      <c r="BD206" s="116"/>
    </row>
    <row r="207" spans="2:56" ht="15">
      <c r="B207" s="26"/>
      <c r="C207" s="66"/>
      <c r="D207" s="43" t="s">
        <v>80</v>
      </c>
      <c r="E207" s="89">
        <f aca="true" t="shared" si="4" ref="E207:G211">J129</f>
        <v>8</v>
      </c>
      <c r="F207" s="89">
        <f t="shared" si="4"/>
        <v>130</v>
      </c>
      <c r="G207" s="90">
        <f t="shared" si="4"/>
        <v>1500</v>
      </c>
      <c r="H207" s="91">
        <f>10.48*G207/(F207^1.85*E207^4.87)</f>
        <v>7.71985429095393E-05</v>
      </c>
      <c r="I207" s="102">
        <f>N129</f>
        <v>103.90625</v>
      </c>
      <c r="J207" s="81">
        <f>IF(I207&lt;0,-$H207*ABS(I207)^1.85,$H207*ABS(I207)^1.85)</f>
        <v>0.4153327668187791</v>
      </c>
      <c r="K207" s="93">
        <f>1.85*ABS(J207/I207)</f>
        <v>0.007394796931029091</v>
      </c>
      <c r="L207" s="85">
        <f>-J212/K212</f>
        <v>627.7943989004107</v>
      </c>
      <c r="M207" s="97">
        <f>I207+L207</f>
        <v>731.7006489004107</v>
      </c>
      <c r="N207" s="80">
        <f>IF(M207&lt;0,-$H207*ABS(M207)^1.85,$H207*ABS(M207)^1.85)</f>
        <v>15.368304881737732</v>
      </c>
      <c r="O207" s="163">
        <f>1.85*ABS(N207/M207)</f>
        <v>0.038856551615665584</v>
      </c>
      <c r="P207" s="97">
        <f>-N212/O212</f>
        <v>-16.265416769842506</v>
      </c>
      <c r="Q207" s="46">
        <f>M207+P207</f>
        <v>715.4352321305681</v>
      </c>
      <c r="R207" s="80">
        <f>IF(Q207&lt;0,-$H207*ABS(Q207)^1.85,$H207*ABS(Q207)^1.85)</f>
        <v>14.742264597144258</v>
      </c>
      <c r="S207" s="163">
        <f>1.85*ABS(R207/Q207)</f>
        <v>0.0381211160421849</v>
      </c>
      <c r="T207" s="46">
        <f>-R212/S212</f>
        <v>41.753416822499624</v>
      </c>
      <c r="U207" s="46">
        <f>Q207+T207</f>
        <v>757.1886489530677</v>
      </c>
      <c r="V207" s="80">
        <f>IF(U207&lt;0,-$H207*ABS(U207)^1.85,$H207*ABS(U207)^1.85)</f>
        <v>16.373317320856447</v>
      </c>
      <c r="W207" s="163">
        <f>1.85*ABS(V207/U207)</f>
        <v>0.04000408231880654</v>
      </c>
      <c r="X207" s="97">
        <f>-V212/W212</f>
        <v>6.72428105715214</v>
      </c>
      <c r="Y207" s="46">
        <f>U207+X207</f>
        <v>763.9129300102198</v>
      </c>
      <c r="Z207" s="80">
        <f>IF(Y207&lt;0,-$H207*ABS(Y207)^1.85,$H207*ABS(Y207)^1.85)</f>
        <v>16.643330832523798</v>
      </c>
      <c r="AA207" s="163">
        <f>1.85*ABS(Z207/Y207)</f>
        <v>0.04030585270988555</v>
      </c>
      <c r="AB207" s="164">
        <f>-Z212/AA212</f>
        <v>4.077992987783586</v>
      </c>
      <c r="AC207" s="46">
        <f>Y207+AB207</f>
        <v>767.9909229980034</v>
      </c>
      <c r="AD207" s="80">
        <f>IF(AC207&lt;0,-$H207*ABS(AC207)^1.85,$H207*ABS(AC207)^1.85)</f>
        <v>16.808070629663234</v>
      </c>
      <c r="AE207" s="163">
        <f>1.85*ABS(AD207/AC207)</f>
        <v>0.04048866950600381</v>
      </c>
      <c r="AF207" s="46">
        <f>-AD212/AE212</f>
        <v>1.0741385443808853</v>
      </c>
      <c r="AG207" s="46">
        <f>AC207+AF207</f>
        <v>769.0650615423842</v>
      </c>
      <c r="AH207" s="80">
        <f>IF(AG207&lt;0,-$H207*ABS(AG207)^1.85,$H207*ABS(AG207)^1.85)</f>
        <v>16.85158691995485</v>
      </c>
      <c r="AI207" s="163">
        <f>1.85*ABS(AH207/AG207)</f>
        <v>0.040536798979520866</v>
      </c>
      <c r="AJ207" s="46">
        <f>-AH212/AI212</f>
        <v>0.4823358045695251</v>
      </c>
      <c r="AK207" s="46">
        <f>AG207+AJ207</f>
        <v>769.5473973469537</v>
      </c>
      <c r="AL207" s="80">
        <f>IF(AK207&lt;0,-$H207*ABS(AK207)^1.85,$H207*ABS(AK207)^1.85)</f>
        <v>16.871144480980625</v>
      </c>
      <c r="AM207" s="163">
        <f>1.85*ABS(AL207/AK207)</f>
        <v>0.04055840796475628</v>
      </c>
      <c r="AN207" s="97">
        <f>-AL212/AM212</f>
        <v>0.1479716358354845</v>
      </c>
      <c r="AO207" s="46">
        <f>AK207+AN207</f>
        <v>769.6953689827892</v>
      </c>
      <c r="AP207" s="80">
        <f>IF(AO207&lt;0,-$H207*ABS(AO207)^1.85,$H207*ABS(AO207)^1.85)</f>
        <v>16.87714646539557</v>
      </c>
      <c r="AQ207" s="84">
        <f>1.85*ABS(AP207/AO207)</f>
        <v>0.04056503679143217</v>
      </c>
      <c r="AR207" s="86">
        <f>-AP212/AQ212</f>
        <v>0.059673189623156424</v>
      </c>
      <c r="AS207" s="46">
        <f>AO207+AR207</f>
        <v>769.7550421724123</v>
      </c>
      <c r="AT207" s="80">
        <f>IF(AS207&lt;0,-$H207*ABS(AS207)^1.85,$H207*ABS(AS207)^1.85)</f>
        <v>16.879567190286924</v>
      </c>
      <c r="AU207" s="84">
        <f>1.85*ABS(AT207/AS207)</f>
        <v>0.04056770997420298</v>
      </c>
      <c r="AV207" s="86">
        <f>-AT212/AU212</f>
        <v>0.019676434916698456</v>
      </c>
      <c r="AW207" s="46">
        <f>AS207+AV207</f>
        <v>769.7747186073291</v>
      </c>
      <c r="AX207" s="80">
        <f>IF(AW207&lt;0,-$H207*ABS(AW207)^1.85,$H207*ABS(AW207)^1.85)</f>
        <v>16.880365426863754</v>
      </c>
      <c r="AY207" s="84">
        <f>1.85*ABS(AX207/AW207)</f>
        <v>0.04056859141359779</v>
      </c>
      <c r="AZ207" s="86">
        <f>-AX212/AY212</f>
        <v>0.007519125380691365</v>
      </c>
      <c r="BA207" s="46">
        <f>AW207+AZ207</f>
        <v>769.7822377327097</v>
      </c>
      <c r="BB207" s="80">
        <f>IF(BA207&lt;0,-$H207*ABS(BA207)^1.85,$H207*ABS(BA207)^1.85)</f>
        <v>16.880670468455456</v>
      </c>
      <c r="BC207" s="163">
        <f>1.85*ABS(BB207/BA207)</f>
        <v>0.040568928244725584</v>
      </c>
      <c r="BD207" s="117">
        <f>-BB212/BC212</f>
        <v>0.0025766415214807143</v>
      </c>
    </row>
    <row r="208" spans="2:56" ht="15">
      <c r="B208" s="26"/>
      <c r="C208" s="66" t="s">
        <v>78</v>
      </c>
      <c r="D208" s="44" t="s">
        <v>81</v>
      </c>
      <c r="E208" s="47">
        <f t="shared" si="4"/>
        <v>8</v>
      </c>
      <c r="F208" s="47">
        <f t="shared" si="4"/>
        <v>130</v>
      </c>
      <c r="G208" s="74">
        <f t="shared" si="4"/>
        <v>400</v>
      </c>
      <c r="H208" s="79">
        <f>10.48*G208/(F208^1.85*E208^4.87)</f>
        <v>2.0586278109210478E-05</v>
      </c>
      <c r="I208" s="87">
        <f>N130</f>
        <v>51.953125</v>
      </c>
      <c r="J208" s="81">
        <f>IF(I208&lt;0,-$H208*ABS(I208)^1.85,$H208*ABS(I208)^1.85)</f>
        <v>0.030722703920772684</v>
      </c>
      <c r="K208" s="84">
        <f>1.85*ABS(J208/I208)</f>
        <v>0.001094005456908116</v>
      </c>
      <c r="L208" s="97">
        <f>L207</f>
        <v>627.7943989004107</v>
      </c>
      <c r="M208" s="46">
        <f>I208+L208</f>
        <v>679.7475239004107</v>
      </c>
      <c r="N208" s="81">
        <f>IF(M208&lt;0,-$H208*ABS(M208)^1.85,$H208*ABS(M208)^1.85)</f>
        <v>3.5761930839195752</v>
      </c>
      <c r="O208" s="93">
        <f>1.85*ABS(N208/M208)</f>
        <v>0.009732962567172975</v>
      </c>
      <c r="P208" s="85">
        <f>P207</f>
        <v>-16.265416769842506</v>
      </c>
      <c r="Q208" s="161">
        <f>M208+P208</f>
        <v>663.4821071305681</v>
      </c>
      <c r="R208" s="81">
        <f>IF(Q208&lt;0,-$H208*ABS(Q208)^1.85,$H208*ABS(Q208)^1.85)</f>
        <v>3.419494297094368</v>
      </c>
      <c r="S208" s="93">
        <f>1.85*ABS(R208/Q208)</f>
        <v>0.009534642127703469</v>
      </c>
      <c r="T208" s="85">
        <f>T207</f>
        <v>41.753416822499624</v>
      </c>
      <c r="U208" s="161">
        <f>Q208+T208</f>
        <v>705.2355239530677</v>
      </c>
      <c r="V208" s="81">
        <f>IF(U208&lt;0,-$H208*ABS(U208)^1.85,$H208*ABS(U208)^1.85)</f>
        <v>3.8282127839715447</v>
      </c>
      <c r="W208" s="93">
        <f>1.85*ABS(V208/U208)</f>
        <v>0.010042309852245428</v>
      </c>
      <c r="X208" s="85">
        <f>X207</f>
        <v>6.72428105715214</v>
      </c>
      <c r="Y208" s="161">
        <f>U208+X208</f>
        <v>711.9598050102198</v>
      </c>
      <c r="Z208" s="81">
        <f>IF(Y208&lt;0,-$H208*ABS(Y208)^1.85,$H208*ABS(Y208)^1.85)</f>
        <v>3.8960136080970678</v>
      </c>
      <c r="AA208" s="93">
        <f>1.85*ABS(Z208/Y208)</f>
        <v>0.01012364058231646</v>
      </c>
      <c r="AB208" s="148">
        <f>AB207</f>
        <v>4.077992987783586</v>
      </c>
      <c r="AC208" s="161">
        <f>Y208+AB208</f>
        <v>716.0377979980034</v>
      </c>
      <c r="AD208" s="81">
        <f>IF(AC208&lt;0,-$H208*ABS(AC208)^1.85,$H208*ABS(AC208)^1.85)</f>
        <v>3.9373982139873815</v>
      </c>
      <c r="AE208" s="93">
        <f>1.85*ABS(AD208/AC208)</f>
        <v>0.010172908073069304</v>
      </c>
      <c r="AF208" s="85">
        <f>AF207</f>
        <v>1.0741385443808853</v>
      </c>
      <c r="AG208" s="161">
        <f>AC208+AF208</f>
        <v>717.1119365423842</v>
      </c>
      <c r="AH208" s="81">
        <f>IF(AG208&lt;0,-$H208*ABS(AG208)^1.85,$H208*ABS(AG208)^1.85)</f>
        <v>3.9483322926999698</v>
      </c>
      <c r="AI208" s="93">
        <f>1.85*ABS(AH208/AG208)</f>
        <v>0.010185878060702485</v>
      </c>
      <c r="AJ208" s="85">
        <f>AJ207</f>
        <v>0.4823358045695251</v>
      </c>
      <c r="AK208" s="161">
        <f>AG208+AJ208</f>
        <v>717.5942723469537</v>
      </c>
      <c r="AL208" s="81">
        <f>IF(AK208&lt;0,-$H208*ABS(AK208)^1.85,$H208*ABS(AK208)^1.85)</f>
        <v>3.9532467107703226</v>
      </c>
      <c r="AM208" s="93">
        <f>1.85*ABS(AL208/AK208)</f>
        <v>0.010191701211613138</v>
      </c>
      <c r="AN208" s="85">
        <f>AN207</f>
        <v>0.1479716358354845</v>
      </c>
      <c r="AO208" s="46">
        <f>AK208+AN208</f>
        <v>717.7422439827892</v>
      </c>
      <c r="AP208" s="81">
        <f>IF(AO208&lt;0,-$H208*ABS(AO208)^1.85,$H208*ABS(AO208)^1.85)</f>
        <v>3.9547549256333188</v>
      </c>
      <c r="AQ208" s="84">
        <f>1.85*ABS(AP208/AO208)</f>
        <v>0.01019348752808965</v>
      </c>
      <c r="AR208" s="86">
        <f>AR207</f>
        <v>0.059673189623156424</v>
      </c>
      <c r="AS208" s="46">
        <f>AO208+AR208</f>
        <v>717.8019171724123</v>
      </c>
      <c r="AT208" s="81">
        <f>IF(AS208&lt;0,-$H208*ABS(AS208)^1.85,$H208*ABS(AS208)^1.85)</f>
        <v>3.9553632250406445</v>
      </c>
      <c r="AU208" s="84">
        <f>1.85*ABS(AT208/AS208)</f>
        <v>0.010194207888368716</v>
      </c>
      <c r="AV208" s="86">
        <f>AV207</f>
        <v>0.019676434916698456</v>
      </c>
      <c r="AW208" s="46">
        <f>AS208+AV208</f>
        <v>717.8215936073291</v>
      </c>
      <c r="AX208" s="81">
        <f>IF(AW208&lt;0,-$H208*ABS(AW208)^1.85,$H208*ABS(AW208)^1.85)</f>
        <v>3.955563813045535</v>
      </c>
      <c r="AY208" s="84">
        <f>1.85*ABS(AX208/AW208)</f>
        <v>0.010194445415551685</v>
      </c>
      <c r="AZ208" s="86">
        <f>AZ207</f>
        <v>0.007519125380691365</v>
      </c>
      <c r="BA208" s="46">
        <f>AW208+AZ208</f>
        <v>717.8291127327097</v>
      </c>
      <c r="BB208" s="81">
        <f>IF(BA208&lt;0,-$H208*ABS(BA208)^1.85,$H208*ABS(BA208)^1.85)</f>
        <v>3.9556404667000487</v>
      </c>
      <c r="BC208" s="163">
        <f>1.85*ABS(BB208/BA208)</f>
        <v>0.010194536183599995</v>
      </c>
      <c r="BD208" s="165">
        <f>BD207</f>
        <v>0.0025766415214807143</v>
      </c>
    </row>
    <row r="209" spans="2:56" ht="15">
      <c r="B209" s="26"/>
      <c r="C209" s="66" t="s">
        <v>79</v>
      </c>
      <c r="D209" s="103" t="s">
        <v>82</v>
      </c>
      <c r="E209" s="47">
        <f t="shared" si="4"/>
        <v>8</v>
      </c>
      <c r="F209" s="47">
        <f t="shared" si="4"/>
        <v>130</v>
      </c>
      <c r="G209" s="74">
        <f t="shared" si="4"/>
        <v>750</v>
      </c>
      <c r="H209" s="79">
        <f>10.48*G209/(F209^1.85*E209^4.87)</f>
        <v>3.859927145476965E-05</v>
      </c>
      <c r="I209" s="87">
        <f>N131</f>
        <v>-900.9765625</v>
      </c>
      <c r="J209" s="81">
        <f>IF(I209&lt;0,-$H209*ABS(I209)^1.85,$H209*ABS(I209)^1.85)</f>
        <v>-11.292733281630683</v>
      </c>
      <c r="K209" s="84">
        <f>1.85*ABS(J209/I209)</f>
        <v>0.023187680390983272</v>
      </c>
      <c r="L209" s="97">
        <f>L208</f>
        <v>627.7943989004107</v>
      </c>
      <c r="M209" s="104">
        <f>I209+L209-L220</f>
        <v>-109.466896489806</v>
      </c>
      <c r="N209" s="81">
        <f>IF(M209&lt;0,-$H209*ABS(M209)^1.85,$H209*ABS(M209)^1.85)</f>
        <v>-0.22869269785634797</v>
      </c>
      <c r="O209" s="84">
        <f>1.85*ABS(N209/M209)</f>
        <v>0.0038649263348179675</v>
      </c>
      <c r="P209" s="97">
        <f>P208</f>
        <v>-16.265416769842506</v>
      </c>
      <c r="Q209" s="104">
        <f>M209+P209-P220</f>
        <v>-269.3373612829431</v>
      </c>
      <c r="R209" s="81">
        <f>IF(Q209&lt;0,-$H209*ABS(Q209)^1.85,$H209*ABS(Q209)^1.85)</f>
        <v>-1.2095611227572023</v>
      </c>
      <c r="S209" s="84">
        <f>1.85*ABS(R209/Q209)</f>
        <v>0.008308123560882808</v>
      </c>
      <c r="T209" s="97">
        <f>T208</f>
        <v>41.753416822499624</v>
      </c>
      <c r="U209" s="104">
        <f>Q209+T209-T220</f>
        <v>-250.02479984624532</v>
      </c>
      <c r="V209" s="81">
        <f>IF(U209&lt;0,-$H209*ABS(U209)^1.85,$H209*ABS(U209)^1.85)</f>
        <v>-1.0540174984276431</v>
      </c>
      <c r="W209" s="84">
        <f>1.85*ABS(V209/U209)</f>
        <v>0.007798955836742059</v>
      </c>
      <c r="X209" s="97">
        <f>X208</f>
        <v>6.72428105715214</v>
      </c>
      <c r="Y209" s="104">
        <f>U209+X209-X220</f>
        <v>-252.82579691778537</v>
      </c>
      <c r="Z209" s="81">
        <f>IF(Y209&lt;0,-$H209*ABS(Y209)^1.85,$H209*ABS(Y209)^1.85)</f>
        <v>-1.0759663010222702</v>
      </c>
      <c r="AA209" s="84">
        <f>1.85*ABS(Z209/Y209)</f>
        <v>0.0078731588356804</v>
      </c>
      <c r="AB209" s="149">
        <f>AB208</f>
        <v>4.077992987783586</v>
      </c>
      <c r="AC209" s="104">
        <f>Y209+AB209-AB220</f>
        <v>-252.51508378520197</v>
      </c>
      <c r="AD209" s="81">
        <f>IF(AC209&lt;0,-$H209*ABS(AC209)^1.85,$H209*ABS(AC209)^1.85)</f>
        <v>-1.073521284975899</v>
      </c>
      <c r="AE209" s="84">
        <f>1.85*ABS(AD209/AC209)</f>
        <v>0.007864933640537631</v>
      </c>
      <c r="AF209" s="97">
        <f>AF208</f>
        <v>1.0741385443808853</v>
      </c>
      <c r="AG209" s="104">
        <f>AC209+AF209-AF220</f>
        <v>-252.61075321554526</v>
      </c>
      <c r="AH209" s="81">
        <f>IF(AG209&lt;0,-$H209*ABS(AG209)^1.85,$H209*ABS(AG209)^1.85)</f>
        <v>-1.0742738398501572</v>
      </c>
      <c r="AI209" s="84">
        <f>1.85*ABS(AH209/AG209)</f>
        <v>0.007867466362475059</v>
      </c>
      <c r="AJ209" s="97">
        <f>AJ208</f>
        <v>0.4823358045695251</v>
      </c>
      <c r="AK209" s="104">
        <f>AG209+AJ209-AJ220</f>
        <v>-252.60489139592832</v>
      </c>
      <c r="AL209" s="81">
        <f>IF(AK209&lt;0,-$H209*ABS(AK209)^1.85,$H209*ABS(AK209)^1.85)</f>
        <v>-1.0742277226363157</v>
      </c>
      <c r="AM209" s="84">
        <f>1.85*ABS(AL209/AK209)</f>
        <v>0.00786731118267339</v>
      </c>
      <c r="AN209" s="97">
        <f>AN208</f>
        <v>0.1479716358354845</v>
      </c>
      <c r="AO209" s="166">
        <f>AK209+AN209-AN220</f>
        <v>-252.61185492569416</v>
      </c>
      <c r="AP209" s="81">
        <f>IF(AO209&lt;0,-$H209*ABS(AO209)^1.85,$H209*ABS(AO209)^1.85)</f>
        <v>-1.0742825075337605</v>
      </c>
      <c r="AQ209" s="93">
        <f>1.85*ABS(AP209/AO209)</f>
        <v>0.007867495527959517</v>
      </c>
      <c r="AR209" s="109">
        <f>AR208</f>
        <v>0.059673189623156424</v>
      </c>
      <c r="AS209" s="166">
        <f>AO209+AR209-AR220</f>
        <v>-252.61211081909994</v>
      </c>
      <c r="AT209" s="81">
        <f>IF(AS209&lt;0,-$H209*ABS(AS209)^1.85,$H209*ABS(AS209)^1.85)</f>
        <v>-1.0742845207748533</v>
      </c>
      <c r="AU209" s="93">
        <f>1.85*ABS(AT209/AS209)</f>
        <v>0.007867502302202409</v>
      </c>
      <c r="AV209" s="109">
        <f>AV208</f>
        <v>0.019676434916698456</v>
      </c>
      <c r="AW209" s="166">
        <f>AS209+AV209-AV220</f>
        <v>-252.61277954959027</v>
      </c>
      <c r="AX209" s="81">
        <f>IF(AW209&lt;0,-$H209*ABS(AW209)^1.85,$H209*ABS(AW209)^1.85)</f>
        <v>-1.074289782019446</v>
      </c>
      <c r="AY209" s="93">
        <f>1.85*ABS(AX209/AW209)</f>
        <v>0.007867520005439086</v>
      </c>
      <c r="AZ209" s="109">
        <f>AZ208</f>
        <v>0.007519125380691365</v>
      </c>
      <c r="BA209" s="166">
        <f>AW209+AZ209-AZ220</f>
        <v>-252.61286841008322</v>
      </c>
      <c r="BB209" s="81">
        <f>IF(BA209&lt;0,-$H209*ABS(BA209)^1.85,$H209*ABS(BA209)^1.85)</f>
        <v>-1.0742904811312537</v>
      </c>
      <c r="BC209" s="93">
        <f>1.85*ABS(BB209/BA209)</f>
        <v>0.00786752235783365</v>
      </c>
      <c r="BD209" s="117">
        <f>BD208</f>
        <v>0.0025766415214807143</v>
      </c>
    </row>
    <row r="210" spans="2:56" ht="15">
      <c r="B210" s="26"/>
      <c r="C210" s="66"/>
      <c r="D210" s="106" t="s">
        <v>83</v>
      </c>
      <c r="E210" s="47">
        <f t="shared" si="4"/>
        <v>8</v>
      </c>
      <c r="F210" s="47">
        <f t="shared" si="4"/>
        <v>130</v>
      </c>
      <c r="G210" s="74">
        <f t="shared" si="4"/>
        <v>750</v>
      </c>
      <c r="H210" s="79">
        <f>10.48*G210/(F210^1.85*E210^4.87)</f>
        <v>3.859927145476965E-05</v>
      </c>
      <c r="I210" s="87">
        <f>N132</f>
        <v>-1002.9296875</v>
      </c>
      <c r="J210" s="81">
        <f>IF(I210&lt;0,-$H210*ABS(I210)^1.85,$H210*ABS(I210)^1.85)</f>
        <v>-13.769859484543485</v>
      </c>
      <c r="K210" s="84">
        <f>1.85*ABS(J210/I210)</f>
        <v>0.025399826492228997</v>
      </c>
      <c r="L210" s="97">
        <f>L209</f>
        <v>627.7943989004107</v>
      </c>
      <c r="M210" s="107">
        <f>I210+L210-L214</f>
        <v>-517.492568146736</v>
      </c>
      <c r="N210" s="81">
        <f>IF(M210&lt;0,-$H210*ABS(M210)^1.85,$H210*ABS(M210)^1.85)</f>
        <v>-4.048570668378931</v>
      </c>
      <c r="O210" s="84">
        <f>1.85*ABS(N210/M210)</f>
        <v>0.014473359034553825</v>
      </c>
      <c r="P210" s="97">
        <f>P209</f>
        <v>-16.265416769842506</v>
      </c>
      <c r="Q210" s="107">
        <f>M210+P210-P214</f>
        <v>-708.9908015001134</v>
      </c>
      <c r="R210" s="81">
        <f>IF(Q210&lt;0,-$H210*ABS(Q210)^1.85,$H210*ABS(Q210)^1.85)</f>
        <v>-7.2487683110351195</v>
      </c>
      <c r="S210" s="84">
        <f>1.85*ABS(R210/Q210)</f>
        <v>0.018914520959991365</v>
      </c>
      <c r="T210" s="97">
        <f>T209</f>
        <v>41.753416822499624</v>
      </c>
      <c r="U210" s="107">
        <f>Q210+T210-T214</f>
        <v>-692.4761379274107</v>
      </c>
      <c r="V210" s="81">
        <f>IF(U210&lt;0,-$H210*ABS(U210)^1.85,$H210*ABS(U210)^1.85)</f>
        <v>-6.939497297399659</v>
      </c>
      <c r="W210" s="84">
        <f>1.85*ABS(V210/U210)</f>
        <v>0.018539368069221657</v>
      </c>
      <c r="X210" s="97">
        <f>X209</f>
        <v>6.72428105715214</v>
      </c>
      <c r="Y210" s="107">
        <f>U210+X210-X214</f>
        <v>-702.521648115388</v>
      </c>
      <c r="Z210" s="81">
        <f>IF(Y210&lt;0,-$H210*ABS(Y210)^1.85,$H210*ABS(Y210)^1.85)</f>
        <v>-7.126882093369544</v>
      </c>
      <c r="AA210" s="84">
        <f>1.85*ABS(Z210/Y210)</f>
        <v>0.018767723255366627</v>
      </c>
      <c r="AB210" s="149">
        <f>AB209</f>
        <v>4.077992987783586</v>
      </c>
      <c r="AC210" s="107">
        <f>Y210+AB210-AB214</f>
        <v>-702.3024381138291</v>
      </c>
      <c r="AD210" s="81">
        <f>IF(AC210&lt;0,-$H210*ABS(AC210)^1.85,$H210*ABS(AC210)^1.85)</f>
        <v>-7.1227685663178795</v>
      </c>
      <c r="AE210" s="84">
        <f>1.85*ABS(AD210/AC210)</f>
        <v>0.018762745410763233</v>
      </c>
      <c r="AF210" s="97">
        <f>AF209</f>
        <v>1.0741385443808853</v>
      </c>
      <c r="AG210" s="107">
        <f>AC210+AF210-AF214</f>
        <v>-703.174709061375</v>
      </c>
      <c r="AH210" s="81">
        <f>IF(AG210&lt;0,-$H210*ABS(AG210)^1.85,$H210*ABS(AG210)^1.85)</f>
        <v>-7.139143402509156</v>
      </c>
      <c r="AI210" s="84">
        <f>1.85*ABS(AH210/AG210)</f>
        <v>0.01878255165387235</v>
      </c>
      <c r="AJ210" s="97">
        <f>AJ209</f>
        <v>0.4823358045695251</v>
      </c>
      <c r="AK210" s="107">
        <f>AG210+AJ210-AJ214</f>
        <v>-703.2397356498863</v>
      </c>
      <c r="AL210" s="81">
        <f>IF(AK210&lt;0,-$H210*ABS(AK210)^1.85,$H210*ABS(AK210)^1.85)</f>
        <v>-7.1403648157688435</v>
      </c>
      <c r="AM210" s="84">
        <f>1.85*ABS(AL210/AK210)</f>
        <v>0.018784028034145254</v>
      </c>
      <c r="AN210" s="97">
        <f>AN209</f>
        <v>0.1479716358354845</v>
      </c>
      <c r="AO210" s="107">
        <f>AK210+AN210-AN214</f>
        <v>-703.3280091227995</v>
      </c>
      <c r="AP210" s="81">
        <f>IF(AO210&lt;0,-$H210*ABS(AO210)^1.85,$H210*ABS(AO210)^1.85)</f>
        <v>-7.142023035615674</v>
      </c>
      <c r="AQ210" s="84">
        <f>1.85*ABS(AP210/AO210)</f>
        <v>0.018786032184852294</v>
      </c>
      <c r="AR210" s="86">
        <f>AR209</f>
        <v>0.059673189623156424</v>
      </c>
      <c r="AS210" s="107">
        <f>AO210+AR210-AR214</f>
        <v>-703.342523282748</v>
      </c>
      <c r="AT210" s="81">
        <f>IF(AS210&lt;0,-$H210*ABS(AS210)^1.85,$H210*ABS(AS210)^1.85)</f>
        <v>-7.142295701482972</v>
      </c>
      <c r="AU210" s="84">
        <f>1.85*ABS(AT210/AS210)</f>
        <v>0.01878636170904698</v>
      </c>
      <c r="AV210" s="86">
        <f>AV209</f>
        <v>0.019676434916698456</v>
      </c>
      <c r="AW210" s="107">
        <f>AS210+AV210-AV214</f>
        <v>-703.3522658948924</v>
      </c>
      <c r="AX210" s="81">
        <f>IF(AW210&lt;0,-$H210*ABS(AW210)^1.85,$H210*ABS(AW210)^1.85)</f>
        <v>-7.1424787307962125</v>
      </c>
      <c r="AY210" s="84">
        <f>1.85*ABS(AX210/AW210)</f>
        <v>0.018786582901188245</v>
      </c>
      <c r="AZ210" s="86">
        <f>AZ209</f>
        <v>0.007519125380691365</v>
      </c>
      <c r="BA210" s="107">
        <f>AW210+AZ210-AZ214</f>
        <v>-703.3545614888831</v>
      </c>
      <c r="BB210" s="81">
        <f>IF(BA210&lt;0,-$H210*ABS(BA210)^1.85,$H210*ABS(BA210)^1.85)</f>
        <v>-7.1425218572228495</v>
      </c>
      <c r="BC210" s="84">
        <f>1.85*ABS(BB210/BA210)</f>
        <v>0.018786635019315392</v>
      </c>
      <c r="BD210" s="117">
        <f>BD209</f>
        <v>0.0025766415214807143</v>
      </c>
    </row>
    <row r="211" spans="2:56" ht="15">
      <c r="B211" s="26"/>
      <c r="C211" s="66"/>
      <c r="D211" s="44" t="s">
        <v>84</v>
      </c>
      <c r="E211" s="47">
        <f t="shared" si="4"/>
        <v>8</v>
      </c>
      <c r="F211" s="47">
        <f t="shared" si="4"/>
        <v>130</v>
      </c>
      <c r="G211" s="74">
        <f t="shared" si="4"/>
        <v>400</v>
      </c>
      <c r="H211" s="79">
        <f>10.48*G211/(F211^1.85*E211^4.87)</f>
        <v>2.0586278109210478E-05</v>
      </c>
      <c r="I211" s="87">
        <f>N133</f>
        <v>-2009.765625</v>
      </c>
      <c r="J211" s="81">
        <f>IF(I211&lt;0,-$H211*ABS(I211)^1.85,$H211*ABS(I211)^1.85)</f>
        <v>-26.570324049493706</v>
      </c>
      <c r="K211" s="84">
        <f>1.85*ABS(J211/I211)</f>
        <v>0.024458125305811897</v>
      </c>
      <c r="L211" s="97">
        <f>L210</f>
        <v>627.7943989004107</v>
      </c>
      <c r="M211" s="46">
        <f>I211+L211</f>
        <v>-1381.9712260995893</v>
      </c>
      <c r="N211" s="81">
        <f>IF(M211&lt;0,-$H211*ABS(M211)^1.85,$H211*ABS(M211)^1.85)</f>
        <v>-13.289265770018797</v>
      </c>
      <c r="O211" s="84">
        <f>1.85*ABS(N211/M211)</f>
        <v>0.017789908509110372</v>
      </c>
      <c r="P211" s="97">
        <f>P210</f>
        <v>-16.265416769842506</v>
      </c>
      <c r="Q211" s="46">
        <f>M211+P211</f>
        <v>-1398.2366428694318</v>
      </c>
      <c r="R211" s="81">
        <f>IF(Q211&lt;0,-$H211*ABS(Q211)^1.85,$H211*ABS(Q211)^1.85)</f>
        <v>-13.580072615519612</v>
      </c>
      <c r="S211" s="84">
        <f>1.85*ABS(R211/Q211)</f>
        <v>0.0179677270416502</v>
      </c>
      <c r="T211" s="97">
        <f>T210</f>
        <v>41.753416822499624</v>
      </c>
      <c r="U211" s="46">
        <f>Q211+T211</f>
        <v>-1356.483226046932</v>
      </c>
      <c r="V211" s="81">
        <f>IF(U211&lt;0,-$H211*ABS(U211)^1.85,$H211*ABS(U211)^1.85)</f>
        <v>-12.839394021183054</v>
      </c>
      <c r="W211" s="84">
        <f>1.85*ABS(V211/U211)</f>
        <v>0.01751063226075369</v>
      </c>
      <c r="X211" s="97">
        <f>X210</f>
        <v>6.72428105715214</v>
      </c>
      <c r="Y211" s="46">
        <f>U211+X211</f>
        <v>-1349.7589449897798</v>
      </c>
      <c r="Z211" s="81">
        <f>IF(Y211&lt;0,-$H211*ABS(Y211)^1.85,$H211*ABS(Y211)^1.85)</f>
        <v>-12.721895736403713</v>
      </c>
      <c r="AA211" s="84">
        <f>1.85*ABS(Z211/Y211)</f>
        <v>0.017436822478346367</v>
      </c>
      <c r="AB211" s="149">
        <f>AB210</f>
        <v>4.077992987783586</v>
      </c>
      <c r="AC211" s="46">
        <f>Y211+AB211</f>
        <v>-1345.6809520019963</v>
      </c>
      <c r="AD211" s="81">
        <f>IF(AC211&lt;0,-$H211*ABS(AC211)^1.85,$H211*ABS(AC211)^1.85)</f>
        <v>-12.65087981508685</v>
      </c>
      <c r="AE211" s="84">
        <f>1.85*ABS(AD211/AC211)</f>
        <v>0.017392033098998606</v>
      </c>
      <c r="AF211" s="97">
        <f>AF210</f>
        <v>1.0741385443808853</v>
      </c>
      <c r="AG211" s="46">
        <f>AC211+AF211</f>
        <v>-1344.6068134576153</v>
      </c>
      <c r="AH211" s="81">
        <f>IF(AG211&lt;0,-$H211*ABS(AG211)^1.85,$H211*ABS(AG211)^1.85)</f>
        <v>-12.632204699720248</v>
      </c>
      <c r="AI211" s="84">
        <f>1.85*ABS(AH211/AG211)</f>
        <v>0.017380232243794973</v>
      </c>
      <c r="AJ211" s="97">
        <f>AJ210</f>
        <v>0.4823358045695251</v>
      </c>
      <c r="AK211" s="46">
        <f>AG211+AJ211</f>
        <v>-1344.1244776530457</v>
      </c>
      <c r="AL211" s="81">
        <f>IF(AK211&lt;0,-$H211*ABS(AK211)^1.85,$H211*ABS(AK211)^1.85)</f>
        <v>-12.623822869491292</v>
      </c>
      <c r="AM211" s="84">
        <f>1.85*ABS(AL211/AK211)</f>
        <v>0.0173749326768731</v>
      </c>
      <c r="AN211" s="97">
        <f>AN210</f>
        <v>0.1479716358354845</v>
      </c>
      <c r="AO211" s="46">
        <f>AK211+AN211</f>
        <v>-1343.97650601721</v>
      </c>
      <c r="AP211" s="81">
        <f>IF(AO211&lt;0,-$H211*ABS(AO211)^1.85,$H211*ABS(AO211)^1.85)</f>
        <v>-12.62125199257123</v>
      </c>
      <c r="AQ211" s="84">
        <f>1.85*ABS(AP211/AO211)</f>
        <v>0.01737330681133036</v>
      </c>
      <c r="AR211" s="86">
        <f>AR210</f>
        <v>0.059673189623156424</v>
      </c>
      <c r="AS211" s="46">
        <f>AO211+AR211</f>
        <v>-1343.9168328275869</v>
      </c>
      <c r="AT211" s="81">
        <f>IF(AS211&lt;0,-$H211*ABS(AS211)^1.85,$H211*ABS(AS211)^1.85)</f>
        <v>-12.62021529150267</v>
      </c>
      <c r="AU211" s="84">
        <f>1.85*ABS(AT211/AS211)</f>
        <v>0.017372651133595273</v>
      </c>
      <c r="AV211" s="86">
        <f>AV210</f>
        <v>0.019676434916698456</v>
      </c>
      <c r="AW211" s="46">
        <f>AS211+AV211</f>
        <v>-1343.8971563926702</v>
      </c>
      <c r="AX211" s="81">
        <f>IF(AW211&lt;0,-$H211*ABS(AW211)^1.85,$H211*ABS(AW211)^1.85)</f>
        <v>-12.61987346179034</v>
      </c>
      <c r="AY211" s="84">
        <f>1.85*ABS(AX211/AW211)</f>
        <v>0.01737243493168795</v>
      </c>
      <c r="AZ211" s="86">
        <f>AZ210</f>
        <v>0.007519125380691365</v>
      </c>
      <c r="BA211" s="46">
        <f>AW211+AZ211</f>
        <v>-1343.8896372672896</v>
      </c>
      <c r="BB211" s="81">
        <f>IF(BA211&lt;0,-$H211*ABS(BA211)^1.85,$H211*ABS(BA211)^1.85)</f>
        <v>-12.619742836584535</v>
      </c>
      <c r="BC211" s="84">
        <f>1.85*ABS(BB211/BA211)</f>
        <v>0.017372352312467414</v>
      </c>
      <c r="BD211" s="117">
        <f>BD210</f>
        <v>0.0025766415214807143</v>
      </c>
    </row>
    <row r="212" spans="2:56" ht="15">
      <c r="B212" s="26"/>
      <c r="C212" s="66"/>
      <c r="D212" s="11"/>
      <c r="E212" s="11"/>
      <c r="F212" s="11"/>
      <c r="G212" s="11"/>
      <c r="H212" s="73"/>
      <c r="I212" s="46" t="s">
        <v>120</v>
      </c>
      <c r="J212" s="80">
        <f>SUM(J207:J211)</f>
        <v>-51.186861344928325</v>
      </c>
      <c r="K212" s="80">
        <f>SUM(K207:K211)</f>
        <v>0.08153443457696137</v>
      </c>
      <c r="L212" s="6"/>
      <c r="M212" s="46" t="s">
        <v>120</v>
      </c>
      <c r="N212" s="80">
        <f>SUM(N207:N211)</f>
        <v>1.377968829403228</v>
      </c>
      <c r="O212" s="80">
        <f>SUM(O207:O211)</f>
        <v>0.08471770806132073</v>
      </c>
      <c r="P212" s="101"/>
      <c r="Q212" s="46" t="s">
        <v>120</v>
      </c>
      <c r="R212" s="80">
        <f>SUM(R207:R211)</f>
        <v>-3.876643155073305</v>
      </c>
      <c r="S212" s="80">
        <f>SUM(S207:S211)</f>
        <v>0.09284612973241274</v>
      </c>
      <c r="T212" s="101"/>
      <c r="U212" s="46" t="s">
        <v>120</v>
      </c>
      <c r="V212" s="80">
        <f>SUM(V207:V211)</f>
        <v>-0.6313787121823644</v>
      </c>
      <c r="W212" s="80">
        <f>SUM(W207:W211)</f>
        <v>0.09389534833776939</v>
      </c>
      <c r="X212" s="101"/>
      <c r="Y212" s="46" t="s">
        <v>120</v>
      </c>
      <c r="Z212" s="80">
        <f>SUM(Z207:Z211)</f>
        <v>-0.3853996901746619</v>
      </c>
      <c r="AA212" s="80">
        <f>SUM(AA207:AA211)</f>
        <v>0.09450719786159541</v>
      </c>
      <c r="AB212" s="150"/>
      <c r="AC212" s="46" t="s">
        <v>120</v>
      </c>
      <c r="AD212" s="80">
        <f>SUM(AD207:AD211)</f>
        <v>-0.10170082273001313</v>
      </c>
      <c r="AE212" s="80">
        <f>SUM(AE207:AE211)</f>
        <v>0.09468128972937258</v>
      </c>
      <c r="AF212" s="101"/>
      <c r="AG212" s="46" t="s">
        <v>120</v>
      </c>
      <c r="AH212" s="80">
        <f>SUM(AH207:AH211)</f>
        <v>-0.04570272942473963</v>
      </c>
      <c r="AI212" s="80">
        <f>SUM(AI207:AI211)</f>
        <v>0.09475292730036575</v>
      </c>
      <c r="AJ212" s="101"/>
      <c r="AK212" s="46" t="s">
        <v>120</v>
      </c>
      <c r="AL212" s="80">
        <f>SUM(AL207:AL211)</f>
        <v>-0.014024216145504198</v>
      </c>
      <c r="AM212" s="80">
        <f>SUM(AM207:AM211)</f>
        <v>0.09477638107006116</v>
      </c>
      <c r="AN212" s="101"/>
      <c r="AO212" s="46" t="s">
        <v>120</v>
      </c>
      <c r="AP212" s="80">
        <f>SUM(AP207:AP211)</f>
        <v>-0.005656144691776888</v>
      </c>
      <c r="AQ212" s="80">
        <f>SUM(AQ207:AQ211)</f>
        <v>0.09478535884366399</v>
      </c>
      <c r="AR212" s="110"/>
      <c r="AS212" s="46" t="s">
        <v>120</v>
      </c>
      <c r="AT212" s="80">
        <f>SUM(AT207:AT211)</f>
        <v>-0.0018650984329262599</v>
      </c>
      <c r="AU212" s="80">
        <f>SUM(AU207:AU211)</f>
        <v>0.09478843300741636</v>
      </c>
      <c r="AV212" s="110"/>
      <c r="AW212" s="46" t="s">
        <v>120</v>
      </c>
      <c r="AX212" s="80">
        <f>SUM(AX207:AX211)</f>
        <v>-0.0007127346967070736</v>
      </c>
      <c r="AY212" s="80">
        <f>SUM(AY207:AY211)</f>
        <v>0.09478957466746477</v>
      </c>
      <c r="AZ212" s="110"/>
      <c r="BA212" s="46" t="s">
        <v>120</v>
      </c>
      <c r="BB212" s="80">
        <f>SUM(BB207:BB211)</f>
        <v>-0.0002442397831323717</v>
      </c>
      <c r="BC212" s="80">
        <f>SUM(BC207:BC211)</f>
        <v>0.09478997411794204</v>
      </c>
      <c r="BD212" s="118"/>
    </row>
    <row r="213" spans="2:56" ht="15">
      <c r="B213" s="26"/>
      <c r="C213" s="66"/>
      <c r="D213" s="11"/>
      <c r="E213" s="11"/>
      <c r="F213" s="11"/>
      <c r="G213" s="11"/>
      <c r="H213" s="73"/>
      <c r="I213" s="46"/>
      <c r="J213" s="80"/>
      <c r="K213" s="80"/>
      <c r="L213" s="6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50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10"/>
      <c r="AS213" s="101"/>
      <c r="AT213" s="101"/>
      <c r="AU213" s="101"/>
      <c r="AV213" s="110"/>
      <c r="AW213" s="101"/>
      <c r="AX213" s="101"/>
      <c r="AY213" s="101"/>
      <c r="AZ213" s="110"/>
      <c r="BA213" s="101"/>
      <c r="BB213" s="101"/>
      <c r="BC213" s="101"/>
      <c r="BD213" s="118"/>
    </row>
    <row r="214" spans="2:56" ht="15">
      <c r="B214" s="26"/>
      <c r="C214" s="26"/>
      <c r="D214" s="106" t="s">
        <v>92</v>
      </c>
      <c r="E214" s="47">
        <f aca="true" t="shared" si="5" ref="E214:G217">J135</f>
        <v>8</v>
      </c>
      <c r="F214" s="47">
        <f t="shared" si="5"/>
        <v>130</v>
      </c>
      <c r="G214" s="74">
        <f t="shared" si="5"/>
        <v>750</v>
      </c>
      <c r="H214" s="79">
        <f>10.48*G214/(F214^1.85*E214^4.87)</f>
        <v>3.859927145476965E-05</v>
      </c>
      <c r="I214" s="87">
        <f>N135</f>
        <v>1002.9296875</v>
      </c>
      <c r="J214" s="81">
        <f>IF(I214&lt;0,-$H214*ABS(I214)^1.85,$H214*ABS(I214)^1.85)</f>
        <v>13.769859484543485</v>
      </c>
      <c r="K214" s="84">
        <f>1.85*ABS(J214/I214)</f>
        <v>0.025399826492228997</v>
      </c>
      <c r="L214" s="97">
        <f>-J218/K218</f>
        <v>142.35727954714667</v>
      </c>
      <c r="M214" s="107">
        <f>I214+L214-L210</f>
        <v>517.492568146736</v>
      </c>
      <c r="N214" s="81">
        <f>IF(M214&lt;0,-$H214*ABS(M214)^1.85,$H214*ABS(M214)^1.85)</f>
        <v>4.048570668378931</v>
      </c>
      <c r="O214" s="84">
        <f>1.85*ABS(N214/M214)</f>
        <v>0.014473359034553825</v>
      </c>
      <c r="P214" s="97">
        <f>-N218/O218</f>
        <v>175.2328165835349</v>
      </c>
      <c r="Q214" s="107">
        <f>M214+P214-P210</f>
        <v>708.9908015001134</v>
      </c>
      <c r="R214" s="81">
        <f>IF(Q214&lt;0,-$H214*ABS(Q214)^1.85,$H214*ABS(Q214)^1.85)</f>
        <v>7.2487683110351195</v>
      </c>
      <c r="S214" s="84">
        <f>1.85*ABS(R214/Q214)</f>
        <v>0.018914520959991365</v>
      </c>
      <c r="T214" s="97">
        <f>-R218/S218</f>
        <v>25.238753249796876</v>
      </c>
      <c r="U214" s="107">
        <f>Q214+T214-T210</f>
        <v>692.4761379274107</v>
      </c>
      <c r="V214" s="81">
        <f>IF(U214&lt;0,-$H214*ABS(U214)^1.85,$H214*ABS(U214)^1.85)</f>
        <v>6.939497297399659</v>
      </c>
      <c r="W214" s="84">
        <f>1.85*ABS(V214/U214)</f>
        <v>0.018539368069221657</v>
      </c>
      <c r="X214" s="97">
        <f>-V218/W218</f>
        <v>16.76979124512933</v>
      </c>
      <c r="Y214" s="107">
        <f>U214+X214-X210</f>
        <v>702.521648115388</v>
      </c>
      <c r="Z214" s="81">
        <f>IF(Y214&lt;0,-$H214*ABS(Y214)^1.85,$H214*ABS(Y214)^1.85)</f>
        <v>7.126882093369544</v>
      </c>
      <c r="AA214" s="84">
        <f>1.85*ABS(Z214/Y214)</f>
        <v>0.018767723255366627</v>
      </c>
      <c r="AB214" s="149">
        <f>-Z218/AA218</f>
        <v>3.8587829862247447</v>
      </c>
      <c r="AC214" s="107">
        <f>Y214+AB214-AB210</f>
        <v>702.3024381138291</v>
      </c>
      <c r="AD214" s="81">
        <f>IF(AC214&lt;0,-$H214*ABS(AC214)^1.85,$H214*ABS(AC214)^1.85)</f>
        <v>7.1227685663178795</v>
      </c>
      <c r="AE214" s="84">
        <f>1.85*ABS(AD214/AC214)</f>
        <v>0.018762745410763233</v>
      </c>
      <c r="AF214" s="97">
        <f>-AD218/AE218</f>
        <v>1.9464094919266888</v>
      </c>
      <c r="AG214" s="107">
        <f>AC214+AF214-AF210</f>
        <v>703.174709061375</v>
      </c>
      <c r="AH214" s="81">
        <f>IF(AG214&lt;0,-$H214*ABS(AG214)^1.85,$H214*ABS(AG214)^1.85)</f>
        <v>7.139143402509156</v>
      </c>
      <c r="AI214" s="84">
        <f>1.85*ABS(AH214/AG214)</f>
        <v>0.01878255165387235</v>
      </c>
      <c r="AJ214" s="97">
        <f>-AH218/AI218</f>
        <v>0.5473623930808429</v>
      </c>
      <c r="AK214" s="107">
        <f>AG214+AJ214-AJ210</f>
        <v>703.2397356498863</v>
      </c>
      <c r="AL214" s="81">
        <f>IF(AK214&lt;0,-$H214*ABS(AK214)^1.85,$H214*ABS(AK214)^1.85)</f>
        <v>7.1403648157688435</v>
      </c>
      <c r="AM214" s="84">
        <f>1.85*ABS(AL214/AK214)</f>
        <v>0.018784028034145254</v>
      </c>
      <c r="AN214" s="97">
        <f>-AL218/AM218</f>
        <v>0.2362451087486547</v>
      </c>
      <c r="AO214" s="107">
        <f>AK214+AN214-AN210</f>
        <v>703.3280091227995</v>
      </c>
      <c r="AP214" s="81">
        <f>IF(AO214&lt;0,-$H214*ABS(AO214)^1.85,$H214*ABS(AO214)^1.85)</f>
        <v>7.142023035615674</v>
      </c>
      <c r="AQ214" s="84">
        <f>1.85*ABS(AP214/AO214)</f>
        <v>0.018786032184852294</v>
      </c>
      <c r="AR214" s="86">
        <f>-AP218/AQ218</f>
        <v>0.07418734957163285</v>
      </c>
      <c r="AS214" s="107">
        <f>AO214+AR214-AR210</f>
        <v>703.342523282748</v>
      </c>
      <c r="AT214" s="81">
        <f>IF(AS214&lt;0,-$H214*ABS(AS214)^1.85,$H214*ABS(AS214)^1.85)</f>
        <v>7.142295701482972</v>
      </c>
      <c r="AU214" s="84">
        <f>1.85*ABS(AT214/AS214)</f>
        <v>0.01878636170904698</v>
      </c>
      <c r="AV214" s="86">
        <f>-AT218/AU218</f>
        <v>0.02941904706120679</v>
      </c>
      <c r="AW214" s="107">
        <f>AS214+AV214-AV210</f>
        <v>703.3522658948924</v>
      </c>
      <c r="AX214" s="81">
        <f>IF(AW214&lt;0,-$H214*ABS(AW214)^1.85,$H214*ABS(AW214)^1.85)</f>
        <v>7.1424787307962125</v>
      </c>
      <c r="AY214" s="84">
        <f>1.85*ABS(AX214/AW214)</f>
        <v>0.018786582901188245</v>
      </c>
      <c r="AZ214" s="86">
        <f>-AX218/AY218</f>
        <v>0.009814719371269468</v>
      </c>
      <c r="BA214" s="107">
        <f>AW214+AZ214-AZ210</f>
        <v>703.3545614888831</v>
      </c>
      <c r="BB214" s="81">
        <f>IF(BA214&lt;0,-$H214*ABS(BA214)^1.85,$H214*ABS(BA214)^1.85)</f>
        <v>7.1425218572228495</v>
      </c>
      <c r="BC214" s="84">
        <f>1.85*ABS(BB214/BA214)</f>
        <v>0.018786635019315392</v>
      </c>
      <c r="BD214" s="117">
        <f>-BB218/BC218</f>
        <v>0.0037180092193216845</v>
      </c>
    </row>
    <row r="215" spans="2:56" ht="15">
      <c r="B215" s="26"/>
      <c r="C215" s="66" t="s">
        <v>78</v>
      </c>
      <c r="D215" s="105" t="s">
        <v>93</v>
      </c>
      <c r="E215" s="47">
        <f t="shared" si="5"/>
        <v>8</v>
      </c>
      <c r="F215" s="47">
        <f t="shared" si="5"/>
        <v>130</v>
      </c>
      <c r="G215" s="74">
        <f t="shared" si="5"/>
        <v>800</v>
      </c>
      <c r="H215" s="79">
        <f>10.48*G215/(F215^1.85*E215^4.87)</f>
        <v>4.1172556218420956E-05</v>
      </c>
      <c r="I215" s="87">
        <f>N136</f>
        <v>50</v>
      </c>
      <c r="J215" s="81">
        <f>IF(I215&lt;0,-$H215*ABS(I215)^1.85,$H215*ABS(I215)^1.85)</f>
        <v>0.057240357726685134</v>
      </c>
      <c r="K215" s="84">
        <f>1.85*ABS(J215/I215)</f>
        <v>0.00211789323588735</v>
      </c>
      <c r="L215" s="97">
        <f>L214</f>
        <v>142.35727954714667</v>
      </c>
      <c r="M215" s="108">
        <f>I215+L215-L223</f>
        <v>356.07254665693</v>
      </c>
      <c r="N215" s="81">
        <f>IF(M215&lt;0,-$H215*ABS(M215)^1.85,$H215*ABS(M215)^1.85)</f>
        <v>2.1624896571303456</v>
      </c>
      <c r="O215" s="84">
        <f>1.85*ABS(N215/M215)</f>
        <v>0.011235367352107763</v>
      </c>
      <c r="P215" s="97">
        <f>P214</f>
        <v>175.2328165835349</v>
      </c>
      <c r="Q215" s="108">
        <f>M215+P215-P223</f>
        <v>387.7003152171703</v>
      </c>
      <c r="R215" s="81">
        <f>IF(Q215&lt;0,-$H215*ABS(Q215)^1.85,$H215*ABS(Q215)^1.85)</f>
        <v>2.5311956550194092</v>
      </c>
      <c r="S215" s="84">
        <f>1.85*ABS(R215/Q215)</f>
        <v>0.012078174244359039</v>
      </c>
      <c r="T215" s="97">
        <f>T214</f>
        <v>25.238753249796876</v>
      </c>
      <c r="U215" s="108">
        <f>Q215+T215-T223</f>
        <v>390.49821308116543</v>
      </c>
      <c r="V215" s="81">
        <f>IF(U215&lt;0,-$H215*ABS(U215)^1.85,$H215*ABS(U215)^1.85)</f>
        <v>2.56509276286582</v>
      </c>
      <c r="W215" s="84">
        <f>1.85*ABS(V215/U215)</f>
        <v>0.012152223626988602</v>
      </c>
      <c r="X215" s="97">
        <f>X214</f>
        <v>16.76979124512933</v>
      </c>
      <c r="Y215" s="108">
        <f>U215+X215-X223</f>
        <v>397.7427261976026</v>
      </c>
      <c r="Z215" s="81">
        <f>IF(Y215&lt;0,-$H215*ABS(Y215)^1.85,$H215*ABS(Y215)^1.85)</f>
        <v>2.6538232010055034</v>
      </c>
      <c r="AA215" s="84">
        <f>1.85*ABS(Z215/Y215)</f>
        <v>0.012343589457424939</v>
      </c>
      <c r="AB215" s="149">
        <f>AB214</f>
        <v>3.8587829862247447</v>
      </c>
      <c r="AC215" s="108">
        <f>Y215+AB215-AB223</f>
        <v>397.8342293286272</v>
      </c>
      <c r="AD215" s="81">
        <f>IF(AC215&lt;0,-$H215*ABS(AC215)^1.85,$H215*ABS(AC215)^1.85)</f>
        <v>2.654952788520971</v>
      </c>
      <c r="AE215" s="84">
        <f>1.85*ABS(AD215/AC215)</f>
        <v>0.012346003175876965</v>
      </c>
      <c r="AF215" s="97">
        <f>AF214</f>
        <v>1.9464094919266888</v>
      </c>
      <c r="AG215" s="108">
        <f>AC215+AF215-AF223</f>
        <v>398.61083084582975</v>
      </c>
      <c r="AH215" s="81">
        <f>IF(AG215&lt;0,-$H215*ABS(AG215)^1.85,$H215*ABS(AG215)^1.85)</f>
        <v>2.6645486669832836</v>
      </c>
      <c r="AI215" s="84">
        <f>1.85*ABS(AH215/AG215)</f>
        <v>0.01236648543507745</v>
      </c>
      <c r="AJ215" s="97">
        <f>AJ214</f>
        <v>0.5473623930808429</v>
      </c>
      <c r="AK215" s="108">
        <f>AG215+AJ215-AJ223</f>
        <v>398.681719253958</v>
      </c>
      <c r="AL215" s="81">
        <f>IF(AK215&lt;0,-$H215*ABS(AK215)^1.85,$H215*ABS(AK215)^1.85)</f>
        <v>2.6654253737070657</v>
      </c>
      <c r="AM215" s="84">
        <f>1.85*ABS(AL215/AK215)</f>
        <v>0.012368354763256723</v>
      </c>
      <c r="AN215" s="97">
        <f>AN214</f>
        <v>0.2362451087486547</v>
      </c>
      <c r="AO215" s="108">
        <f>AK215+AN215-AN223</f>
        <v>398.76302919710537</v>
      </c>
      <c r="AP215" s="81">
        <f>IF(AO215&lt;0,-$H215*ABS(AO215)^1.85,$H215*ABS(AO215)^1.85)</f>
        <v>2.6664311310977604</v>
      </c>
      <c r="AQ215" s="84">
        <f>1.85*ABS(AP215/AO215)</f>
        <v>0.012370498846051662</v>
      </c>
      <c r="AR215" s="86">
        <f>AR214</f>
        <v>0.07418734957163285</v>
      </c>
      <c r="AS215" s="108">
        <f>AO215+AR215-AR223</f>
        <v>398.77728746364807</v>
      </c>
      <c r="AT215" s="81">
        <f>IF(AS215&lt;0,-$H215*ABS(AS215)^1.85,$H215*ABS(AS215)^1.85)</f>
        <v>2.666607515647935</v>
      </c>
      <c r="AU215" s="84">
        <f>1.85*ABS(AT215/AS215)</f>
        <v>0.01237087481918936</v>
      </c>
      <c r="AV215" s="86">
        <f>AV214</f>
        <v>0.02941904706120679</v>
      </c>
      <c r="AW215" s="108">
        <f>AS215+AV215-AV223</f>
        <v>398.7863613453022</v>
      </c>
      <c r="AX215" s="81">
        <f>IF(AW215&lt;0,-$H215*ABS(AW215)^1.85,$H215*ABS(AW215)^1.85)</f>
        <v>2.666719768587541</v>
      </c>
      <c r="AY215" s="84">
        <f>1.85*ABS(AX215/AW215)</f>
        <v>0.012371114085356539</v>
      </c>
      <c r="AZ215" s="86">
        <f>AZ214</f>
        <v>0.009814719371269468</v>
      </c>
      <c r="BA215" s="108">
        <f>AW215+AZ215-AZ223</f>
        <v>398.7885680787998</v>
      </c>
      <c r="BB215" s="81">
        <f>IF(BA215&lt;0,-$H215*ABS(BA215)^1.85,$H215*ABS(BA215)^1.85)</f>
        <v>2.6667470684036014</v>
      </c>
      <c r="BC215" s="84">
        <f>1.85*ABS(BB215/BA215)</f>
        <v>0.012371172273854694</v>
      </c>
      <c r="BD215" s="117">
        <f>BD214</f>
        <v>0.0037180092193216845</v>
      </c>
    </row>
    <row r="216" spans="2:56" ht="15">
      <c r="B216" s="26"/>
      <c r="C216" s="66" t="s">
        <v>91</v>
      </c>
      <c r="D216" s="44" t="s">
        <v>94</v>
      </c>
      <c r="E216" s="47">
        <f t="shared" si="5"/>
        <v>8</v>
      </c>
      <c r="F216" s="47">
        <f t="shared" si="5"/>
        <v>130</v>
      </c>
      <c r="G216" s="74">
        <f t="shared" si="5"/>
        <v>750</v>
      </c>
      <c r="H216" s="79">
        <f>10.48*G216/(F216^1.85*E216^4.87)</f>
        <v>3.859927145476965E-05</v>
      </c>
      <c r="I216" s="87">
        <f>N137</f>
        <v>-902.9296875</v>
      </c>
      <c r="J216" s="81">
        <f>IF(I216&lt;0,-$H216*ABS(I216)^1.85,$H216*ABS(I216)^1.85)</f>
        <v>-11.338063440035937</v>
      </c>
      <c r="K216" s="84">
        <f>1.85*ABS(J216/I216)</f>
        <v>0.023230399503357216</v>
      </c>
      <c r="L216" s="97">
        <f>L215</f>
        <v>142.35727954714667</v>
      </c>
      <c r="M216" s="46">
        <f aca="true" t="shared" si="6" ref="M216:M222">I216+L216</f>
        <v>-760.5724079528534</v>
      </c>
      <c r="N216" s="81">
        <f>IF(M216&lt;0,-$H216*ABS(M216)^1.85,$H216*ABS(M216)^1.85)</f>
        <v>-8.254469264361706</v>
      </c>
      <c r="O216" s="84">
        <f>1.85*ABS(N216/M216)</f>
        <v>0.02007799386276943</v>
      </c>
      <c r="P216" s="97">
        <f>P215</f>
        <v>175.2328165835349</v>
      </c>
      <c r="Q216" s="46">
        <f>M216+P216</f>
        <v>-585.3395913693184</v>
      </c>
      <c r="R216" s="81">
        <f>IF(Q216&lt;0,-$H216*ABS(Q216)^1.85,$H216*ABS(Q216)^1.85)</f>
        <v>-5.084915293851567</v>
      </c>
      <c r="S216" s="84">
        <f>1.85*ABS(R216/Q216)</f>
        <v>0.01607117207229883</v>
      </c>
      <c r="T216" s="97">
        <f>T215</f>
        <v>25.238753249796876</v>
      </c>
      <c r="U216" s="46">
        <f>Q216+T216</f>
        <v>-560.1008381195215</v>
      </c>
      <c r="V216" s="81">
        <f>IF(U216&lt;0,-$H216*ABS(U216)^1.85,$H216*ABS(U216)^1.85)</f>
        <v>-4.686748178940034</v>
      </c>
      <c r="W216" s="84">
        <f>1.85*ABS(V216/U216)</f>
        <v>0.015480219883528979</v>
      </c>
      <c r="X216" s="97">
        <f>X215</f>
        <v>16.76979124512933</v>
      </c>
      <c r="Y216" s="46">
        <f>U216+X216</f>
        <v>-543.3310468743922</v>
      </c>
      <c r="Z216" s="81">
        <f>IF(Y216&lt;0,-$H216*ABS(Y216)^1.85,$H216*ABS(Y216)^1.85)</f>
        <v>-4.430456465638993</v>
      </c>
      <c r="AA216" s="84">
        <f>1.85*ABS(Z216/Y216)</f>
        <v>0.015085360037095348</v>
      </c>
      <c r="AB216" s="149">
        <f>AB215</f>
        <v>3.8587829862247447</v>
      </c>
      <c r="AC216" s="46">
        <f>Y216+AB216</f>
        <v>-539.4722638881675</v>
      </c>
      <c r="AD216" s="81">
        <f>IF(AC216&lt;0,-$H216*ABS(AC216)^1.85,$H216*ABS(AC216)^1.85)</f>
        <v>-4.372421101163466</v>
      </c>
      <c r="AE216" s="84">
        <f>1.85*ABS(AD216/AC216)</f>
        <v>0.014994244521214636</v>
      </c>
      <c r="AF216" s="97">
        <f>AF215</f>
        <v>1.9464094919266888</v>
      </c>
      <c r="AG216" s="46">
        <f>AC216+AF216</f>
        <v>-537.5258543962408</v>
      </c>
      <c r="AH216" s="81">
        <f>IF(AG216&lt;0,-$H216*ABS(AG216)^1.85,$H216*ABS(AG216)^1.85)</f>
        <v>-4.343280921423528</v>
      </c>
      <c r="AI216" s="84">
        <f>1.85*ABS(AH216/AG216)</f>
        <v>0.0149482478636468</v>
      </c>
      <c r="AJ216" s="97">
        <f>AJ215</f>
        <v>0.5473623930808429</v>
      </c>
      <c r="AK216" s="46">
        <f>AG216+AJ216</f>
        <v>-536.97849200316</v>
      </c>
      <c r="AL216" s="81">
        <f>IF(AK216&lt;0,-$H216*ABS(AK216)^1.85,$H216*ABS(AK216)^1.85)</f>
        <v>-4.335102353912226</v>
      </c>
      <c r="AM216" s="84">
        <f>1.85*ABS(AL216/AK216)</f>
        <v>0.014935308348794021</v>
      </c>
      <c r="AN216" s="97">
        <f>AN215</f>
        <v>0.2362451087486547</v>
      </c>
      <c r="AO216" s="46">
        <f>AK216+AN216</f>
        <v>-536.7422468944113</v>
      </c>
      <c r="AP216" s="81">
        <f>IF(AO216&lt;0,-$H216*ABS(AO216)^1.85,$H216*ABS(AO216)^1.85)</f>
        <v>-4.331574620120273</v>
      </c>
      <c r="AQ216" s="84">
        <f>1.85*ABS(AP216/AO216)</f>
        <v>0.014929722960300002</v>
      </c>
      <c r="AR216" s="86">
        <f>AR215</f>
        <v>0.07418734957163285</v>
      </c>
      <c r="AS216" s="46">
        <f>AO216+AR216</f>
        <v>-536.6680595448397</v>
      </c>
      <c r="AT216" s="81">
        <f>IF(AS216&lt;0,-$H216*ABS(AS216)^1.85,$H216*ABS(AS216)^1.85)</f>
        <v>-4.33046708860754</v>
      </c>
      <c r="AU216" s="84">
        <f>1.85*ABS(AT216/AS216)</f>
        <v>0.014927968921270567</v>
      </c>
      <c r="AV216" s="86">
        <f>AV215</f>
        <v>0.02941904706120679</v>
      </c>
      <c r="AW216" s="46">
        <f>AS216+AV216</f>
        <v>-536.6386404977785</v>
      </c>
      <c r="AX216" s="81">
        <f>IF(AW216&lt;0,-$H216*ABS(AW216)^1.85,$H216*ABS(AW216)^1.85)</f>
        <v>-4.330027932218886</v>
      </c>
      <c r="AY216" s="84">
        <f>1.85*ABS(AX216/AW216)</f>
        <v>0.014927273345755467</v>
      </c>
      <c r="AZ216" s="86">
        <f>AZ215</f>
        <v>0.009814719371269468</v>
      </c>
      <c r="BA216" s="46">
        <f>AW216+AZ216</f>
        <v>-536.6288257784072</v>
      </c>
      <c r="BB216" s="81">
        <f>IF(BA216&lt;0,-$H216*ABS(BA216)^1.85,$H216*ABS(BA216)^1.85)</f>
        <v>-4.32988142635881</v>
      </c>
      <c r="BC216" s="84">
        <f>1.85*ABS(BB216/BA216)</f>
        <v>0.01492704128807185</v>
      </c>
      <c r="BD216" s="117">
        <f>BD215</f>
        <v>0.0037180092193216845</v>
      </c>
    </row>
    <row r="217" spans="2:56" ht="15">
      <c r="B217" s="26"/>
      <c r="C217" s="66"/>
      <c r="D217" s="44" t="s">
        <v>95</v>
      </c>
      <c r="E217" s="47">
        <f t="shared" si="5"/>
        <v>8</v>
      </c>
      <c r="F217" s="47">
        <f t="shared" si="5"/>
        <v>130</v>
      </c>
      <c r="G217" s="74">
        <f t="shared" si="5"/>
        <v>800</v>
      </c>
      <c r="H217" s="79">
        <f>10.48*G217/(F217^1.85*E217^4.87)</f>
        <v>4.1172556218420956E-05</v>
      </c>
      <c r="I217" s="87">
        <f>N138</f>
        <v>-954.8828125</v>
      </c>
      <c r="J217" s="81">
        <f>IF(I217&lt;0,-$H217*ABS(I217)^1.85,$H217*ABS(I217)^1.85)</f>
        <v>-13.412677191102599</v>
      </c>
      <c r="K217" s="84">
        <f>1.85*ABS(J217/I217)</f>
        <v>0.02598586180284799</v>
      </c>
      <c r="L217" s="97">
        <f>L216</f>
        <v>142.35727954714667</v>
      </c>
      <c r="M217" s="46">
        <f t="shared" si="6"/>
        <v>-812.5255329528534</v>
      </c>
      <c r="N217" s="81">
        <f>IF(M217&lt;0,-$H217*ABS(M217)^1.85,$H217*ABS(M217)^1.85)</f>
        <v>-9.94961584786605</v>
      </c>
      <c r="O217" s="84">
        <f>1.85*ABS(N217/M217)</f>
        <v>0.022653798031009375</v>
      </c>
      <c r="P217" s="97">
        <f>P216</f>
        <v>175.2328165835349</v>
      </c>
      <c r="Q217" s="46">
        <f>M217+P217</f>
        <v>-637.2927163693184</v>
      </c>
      <c r="R217" s="81">
        <f>IF(Q217&lt;0,-$H217*ABS(Q217)^1.85,$H217*ABS(Q217)^1.85)</f>
        <v>-6.347970471082325</v>
      </c>
      <c r="S217" s="84">
        <f>1.85*ABS(R217/Q217)</f>
        <v>0.018427553100570298</v>
      </c>
      <c r="T217" s="97">
        <f>T216</f>
        <v>25.238753249796876</v>
      </c>
      <c r="U217" s="46">
        <f>Q217+T217</f>
        <v>-612.0539631195215</v>
      </c>
      <c r="V217" s="81">
        <f>IF(U217&lt;0,-$H217*ABS(U217)^1.85,$H217*ABS(U217)^1.85)</f>
        <v>-5.89072573298969</v>
      </c>
      <c r="W217" s="84">
        <f>1.85*ABS(V217/U217)</f>
        <v>0.017805362374400318</v>
      </c>
      <c r="X217" s="97">
        <f>X216</f>
        <v>16.76979124512933</v>
      </c>
      <c r="Y217" s="46">
        <f>U217+X217</f>
        <v>-595.2841718743922</v>
      </c>
      <c r="Z217" s="81">
        <f>IF(Y217&lt;0,-$H217*ABS(Y217)^1.85,$H217*ABS(Y217)^1.85)</f>
        <v>-5.595615329498138</v>
      </c>
      <c r="AA217" s="84">
        <f>1.85*ABS(Z217/Y217)</f>
        <v>0.017389826319379867</v>
      </c>
      <c r="AB217" s="149">
        <f>AB216</f>
        <v>3.8587829862247447</v>
      </c>
      <c r="AC217" s="46">
        <f>Y217+AB217</f>
        <v>-591.4253888881675</v>
      </c>
      <c r="AD217" s="81">
        <f>IF(AC217&lt;0,-$H217*ABS(AC217)^1.85,$H217*ABS(AC217)^1.85)</f>
        <v>-5.528696691085394</v>
      </c>
      <c r="AE217" s="84">
        <f>1.85*ABS(AD217/AC217)</f>
        <v>0.017293963145099282</v>
      </c>
      <c r="AF217" s="97">
        <f>AF216</f>
        <v>1.9464094919266888</v>
      </c>
      <c r="AG217" s="46">
        <f>AC217+AF217</f>
        <v>-589.4789793962408</v>
      </c>
      <c r="AH217" s="81">
        <f>IF(AG217&lt;0,-$H217*ABS(AG217)^1.85,$H217*ABS(AG217)^1.85)</f>
        <v>-5.49508264649838</v>
      </c>
      <c r="AI217" s="84">
        <f>1.85*ABS(AH217/AG217)</f>
        <v>0.017245573211845788</v>
      </c>
      <c r="AJ217" s="97">
        <f>AJ216</f>
        <v>0.5473623930808429</v>
      </c>
      <c r="AK217" s="46">
        <f>AG217+AJ217</f>
        <v>-588.93161700316</v>
      </c>
      <c r="AL217" s="81">
        <f>IF(AK217&lt;0,-$H217*ABS(AK217)^1.85,$H217*ABS(AK217)^1.85)</f>
        <v>-5.485646793635732</v>
      </c>
      <c r="AM217" s="84">
        <f>1.85*ABS(AL217/AK217)</f>
        <v>0.01723196085118937</v>
      </c>
      <c r="AN217" s="97">
        <f>AN216</f>
        <v>0.2362451087486547</v>
      </c>
      <c r="AO217" s="46">
        <f>AK217+AN217</f>
        <v>-588.6953718944113</v>
      </c>
      <c r="AP217" s="81">
        <f>IF(AO217&lt;0,-$H217*ABS(AO217)^1.85,$H217*ABS(AO217)^1.85)</f>
        <v>-5.481576521224263</v>
      </c>
      <c r="AQ217" s="84">
        <f>1.85*ABS(AP217/AO217)</f>
        <v>0.017226085083073776</v>
      </c>
      <c r="AR217" s="86">
        <f>AR216</f>
        <v>0.07418734957163285</v>
      </c>
      <c r="AS217" s="46">
        <f>AO217+AR217</f>
        <v>-588.6211845448397</v>
      </c>
      <c r="AT217" s="81">
        <f>IF(AS217&lt;0,-$H217*ABS(AS217)^1.85,$H217*ABS(AS217)^1.85)</f>
        <v>-5.4802986320743505</v>
      </c>
      <c r="AU217" s="84">
        <f>1.85*ABS(AT217/AS217)</f>
        <v>0.017224239860101773</v>
      </c>
      <c r="AV217" s="86">
        <f>AV216</f>
        <v>0.02941904706120679</v>
      </c>
      <c r="AW217" s="46">
        <f>AS217+AV217</f>
        <v>-588.5917654977785</v>
      </c>
      <c r="AX217" s="81">
        <f>IF(AW217&lt;0,-$H217*ABS(AW217)^1.85,$H217*ABS(AW217)^1.85)</f>
        <v>-5.4797919221147575</v>
      </c>
      <c r="AY217" s="84">
        <f>1.85*ABS(AX217/AW217)</f>
        <v>0.017223508125939903</v>
      </c>
      <c r="AZ217" s="86">
        <f>AZ216</f>
        <v>0.009814719371269468</v>
      </c>
      <c r="BA217" s="46">
        <f>AW217+AZ217</f>
        <v>-588.5819507784072</v>
      </c>
      <c r="BB217" s="81">
        <f>IF(BA217&lt;0,-$H217*ABS(BA217)^1.85,$H217*ABS(BA217)^1.85)</f>
        <v>-5.4796228794138955</v>
      </c>
      <c r="BC217" s="84">
        <f>1.85*ABS(BB217/BA217)</f>
        <v>0.017223264005138104</v>
      </c>
      <c r="BD217" s="117">
        <f>BD216</f>
        <v>0.0037180092193216845</v>
      </c>
    </row>
    <row r="218" spans="2:56" ht="15">
      <c r="B218" s="26"/>
      <c r="C218" s="66"/>
      <c r="D218" s="11"/>
      <c r="E218" s="11"/>
      <c r="F218" s="11"/>
      <c r="G218" s="11"/>
      <c r="H218" s="73"/>
      <c r="I218" s="46" t="s">
        <v>120</v>
      </c>
      <c r="J218" s="80">
        <f>SUM(J213:J217)</f>
        <v>-10.923640788868365</v>
      </c>
      <c r="K218" s="86">
        <f>SUM(K213:K217)</f>
        <v>0.07673398103432155</v>
      </c>
      <c r="L218" s="97">
        <f>L217</f>
        <v>142.35727954714667</v>
      </c>
      <c r="M218" s="46" t="s">
        <v>120</v>
      </c>
      <c r="N218" s="80">
        <f>SUM(N213:N217)</f>
        <v>-11.99302478671848</v>
      </c>
      <c r="O218" s="86">
        <f>SUM(O213:O217)</f>
        <v>0.0684405182804404</v>
      </c>
      <c r="P218" s="101"/>
      <c r="Q218" s="46" t="s">
        <v>120</v>
      </c>
      <c r="R218" s="80">
        <f>SUM(R213:R217)</f>
        <v>-1.6529217988793627</v>
      </c>
      <c r="S218" s="86">
        <f>SUM(S213:S217)</f>
        <v>0.06549142037721953</v>
      </c>
      <c r="T218" s="101"/>
      <c r="U218" s="46" t="s">
        <v>120</v>
      </c>
      <c r="V218" s="80">
        <f>SUM(V213:V217)</f>
        <v>-1.0728838516642458</v>
      </c>
      <c r="W218" s="86">
        <f>SUM(W213:W217)</f>
        <v>0.06397717395413956</v>
      </c>
      <c r="X218" s="101"/>
      <c r="Y218" s="46" t="s">
        <v>120</v>
      </c>
      <c r="Z218" s="80">
        <f>SUM(Z213:Z217)</f>
        <v>-0.24536650076208222</v>
      </c>
      <c r="AA218" s="86">
        <f>SUM(AA213:AA217)</f>
        <v>0.06358649906926678</v>
      </c>
      <c r="AB218" s="150"/>
      <c r="AC218" s="46" t="s">
        <v>120</v>
      </c>
      <c r="AD218" s="80">
        <f>SUM(AD213:AD217)</f>
        <v>-0.12339643741001094</v>
      </c>
      <c r="AE218" s="86">
        <f>SUM(AE213:AE217)</f>
        <v>0.06339695625295412</v>
      </c>
      <c r="AF218" s="101"/>
      <c r="AG218" s="46" t="s">
        <v>120</v>
      </c>
      <c r="AH218" s="80">
        <f>SUM(AH213:AH217)</f>
        <v>-0.034671498429469594</v>
      </c>
      <c r="AI218" s="86">
        <f>SUM(AI213:AI217)</f>
        <v>0.06334285816444239</v>
      </c>
      <c r="AJ218" s="101"/>
      <c r="AK218" s="46" t="s">
        <v>120</v>
      </c>
      <c r="AL218" s="80">
        <f>SUM(AL213:AL217)</f>
        <v>-0.014958958072049278</v>
      </c>
      <c r="AM218" s="86">
        <f>SUM(AM213:AM217)</f>
        <v>0.06331965199738537</v>
      </c>
      <c r="AN218" s="101"/>
      <c r="AO218" s="46" t="s">
        <v>120</v>
      </c>
      <c r="AP218" s="80">
        <f>SUM(AP213:AP217)</f>
        <v>-0.004696974631101192</v>
      </c>
      <c r="AQ218" s="86">
        <f>SUM(AQ213:AQ217)</f>
        <v>0.06331233907427773</v>
      </c>
      <c r="AR218" s="110"/>
      <c r="AS218" s="46" t="s">
        <v>120</v>
      </c>
      <c r="AT218" s="80">
        <f>SUM(AT213:AT217)</f>
        <v>-0.0018625035509822752</v>
      </c>
      <c r="AU218" s="86">
        <f>SUM(AU213:AU217)</f>
        <v>0.06330944530960868</v>
      </c>
      <c r="AV218" s="110"/>
      <c r="AW218" s="46" t="s">
        <v>120</v>
      </c>
      <c r="AX218" s="80">
        <f>SUM(AX213:AX217)</f>
        <v>-0.0006213549498896853</v>
      </c>
      <c r="AY218" s="86">
        <f>SUM(AY213:AY217)</f>
        <v>0.06330847845824014</v>
      </c>
      <c r="AZ218" s="110"/>
      <c r="BA218" s="46" t="s">
        <v>120</v>
      </c>
      <c r="BB218" s="80">
        <f>SUM(BB213:BB217)</f>
        <v>-0.00023538014625401615</v>
      </c>
      <c r="BC218" s="86">
        <f>SUM(BC213:BC217)</f>
        <v>0.06330811258638004</v>
      </c>
      <c r="BD218" s="118"/>
    </row>
    <row r="219" spans="2:56" ht="15">
      <c r="B219" s="26"/>
      <c r="C219" s="66"/>
      <c r="D219" s="11"/>
      <c r="E219" s="11"/>
      <c r="F219" s="11"/>
      <c r="G219" s="11"/>
      <c r="H219" s="73"/>
      <c r="I219" s="46"/>
      <c r="J219" s="80"/>
      <c r="K219" s="80"/>
      <c r="L219" s="6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50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10"/>
      <c r="AS219" s="101"/>
      <c r="AT219" s="101"/>
      <c r="AU219" s="101"/>
      <c r="AV219" s="110"/>
      <c r="AW219" s="101"/>
      <c r="AX219" s="101"/>
      <c r="AY219" s="101"/>
      <c r="AZ219" s="110"/>
      <c r="BA219" s="101"/>
      <c r="BB219" s="101"/>
      <c r="BC219" s="101"/>
      <c r="BD219" s="118"/>
    </row>
    <row r="220" spans="2:56" ht="15">
      <c r="B220" s="26"/>
      <c r="C220" s="66"/>
      <c r="D220" s="103" t="s">
        <v>97</v>
      </c>
      <c r="E220" s="47">
        <f aca="true" t="shared" si="7" ref="E220:G223">J140</f>
        <v>8</v>
      </c>
      <c r="F220" s="47">
        <f t="shared" si="7"/>
        <v>130</v>
      </c>
      <c r="G220" s="74">
        <f t="shared" si="7"/>
        <v>750</v>
      </c>
      <c r="H220" s="79">
        <f>10.48*G220/(F220^1.85*E220^4.87)</f>
        <v>3.859927145476965E-05</v>
      </c>
      <c r="I220" s="87">
        <f>N140</f>
        <v>900.9765625</v>
      </c>
      <c r="J220" s="81">
        <f>IF(I220&lt;0,-$H220*ABS(I220)^1.85,$H220*ABS(I220)^1.85)</f>
        <v>11.292733281630683</v>
      </c>
      <c r="K220" s="84">
        <f>1.85*ABS(J220/I220)</f>
        <v>0.023187680390983272</v>
      </c>
      <c r="L220" s="98">
        <f>-J224/K224</f>
        <v>-163.71526710978333</v>
      </c>
      <c r="M220" s="104">
        <f>I220+L220-L209</f>
        <v>109.466896489806</v>
      </c>
      <c r="N220" s="81">
        <f>IF(M220&lt;0,-$H220*ABS(M220)^1.85,$H220*ABS(M220)^1.85)</f>
        <v>0.22869269785634797</v>
      </c>
      <c r="O220" s="84">
        <f>1.85*ABS(N220/M220)</f>
        <v>0.0038649263348179675</v>
      </c>
      <c r="P220" s="98">
        <f>-N224/O224</f>
        <v>143.6050480232946</v>
      </c>
      <c r="Q220" s="104">
        <f>M220+P220-P209</f>
        <v>269.3373612829431</v>
      </c>
      <c r="R220" s="81">
        <f>IF(Q220&lt;0,-$H220*ABS(Q220)^1.85,$H220*ABS(Q220)^1.85)</f>
        <v>1.2095611227572023</v>
      </c>
      <c r="S220" s="84">
        <f>1.85*ABS(R220/Q220)</f>
        <v>0.008308123560882808</v>
      </c>
      <c r="T220" s="98">
        <f>-R224/S224</f>
        <v>22.44085538580182</v>
      </c>
      <c r="U220" s="104">
        <f>Q220+T220-T209</f>
        <v>250.0247998462453</v>
      </c>
      <c r="V220" s="81">
        <f>IF(U220&lt;0,-$H220*ABS(U220)^1.85,$H220*ABS(U220)^1.85)</f>
        <v>1.0540174984276431</v>
      </c>
      <c r="W220" s="84">
        <f>1.85*ABS(V220/U220)</f>
        <v>0.00779895583674206</v>
      </c>
      <c r="X220" s="98">
        <f>-V224/W224</f>
        <v>9.525278128692173</v>
      </c>
      <c r="Y220" s="104">
        <f>U220+X220-X209</f>
        <v>252.82579691778528</v>
      </c>
      <c r="Z220" s="81">
        <f>IF(Y220&lt;0,-$H220*ABS(Y220)^1.85,$H220*ABS(Y220)^1.85)</f>
        <v>1.0759663010222682</v>
      </c>
      <c r="AA220" s="84">
        <f>1.85*ABS(Z220/Y220)</f>
        <v>0.007873158835680386</v>
      </c>
      <c r="AB220" s="151">
        <f>-Z224/AA224</f>
        <v>3.7672798552001634</v>
      </c>
      <c r="AC220" s="104">
        <f>Y220+AB220-AB209</f>
        <v>252.51508378520188</v>
      </c>
      <c r="AD220" s="81">
        <f>IF(AC220&lt;0,-$H220*ABS(AC220)^1.85,$H220*ABS(AC220)^1.85)</f>
        <v>1.073521284975899</v>
      </c>
      <c r="AE220" s="84">
        <f>1.85*ABS(AD220/AC220)</f>
        <v>0.007864933640537634</v>
      </c>
      <c r="AF220" s="98">
        <f>-AD224/AE224</f>
        <v>1.1698079747241739</v>
      </c>
      <c r="AG220" s="104">
        <f>AC220+AF220-AF209</f>
        <v>252.61075321554517</v>
      </c>
      <c r="AH220" s="81">
        <f>IF(AG220&lt;0,-$H220*ABS(AG220)^1.85,$H220*ABS(AG220)^1.85)</f>
        <v>1.0742738398501555</v>
      </c>
      <c r="AI220" s="84">
        <f>1.85*ABS(AH220/AG220)</f>
        <v>0.00786746636247505</v>
      </c>
      <c r="AJ220" s="98">
        <f>-AH224/AI224</f>
        <v>0.47647398495256704</v>
      </c>
      <c r="AK220" s="104">
        <f>AG220+AJ220-AJ209</f>
        <v>252.60489139592823</v>
      </c>
      <c r="AL220" s="81">
        <f>IF(AK220&lt;0,-$H220*ABS(AK220)^1.85,$H220*ABS(AK220)^1.85)</f>
        <v>1.0742277226363157</v>
      </c>
      <c r="AM220" s="84">
        <f>1.85*ABS(AL220/AK220)</f>
        <v>0.007867311182673394</v>
      </c>
      <c r="AN220" s="98">
        <f>-AL224/AM224</f>
        <v>0.15493516560132511</v>
      </c>
      <c r="AO220" s="104">
        <f>AK220+AN220-AN209</f>
        <v>252.61185492569408</v>
      </c>
      <c r="AP220" s="81">
        <f>IF(AO220&lt;0,-$H220*ABS(AO220)^1.85,$H220*ABS(AO220)^1.85)</f>
        <v>1.0742825075337605</v>
      </c>
      <c r="AQ220" s="84">
        <f>1.85*ABS(AP220/AO220)</f>
        <v>0.00786749552795952</v>
      </c>
      <c r="AR220" s="111">
        <f>-AP224/AQ224</f>
        <v>0.05992908302894227</v>
      </c>
      <c r="AS220" s="104">
        <f>AO220+AR220-AR209</f>
        <v>252.61211081909985</v>
      </c>
      <c r="AT220" s="81">
        <f>IF(AS220&lt;0,-$H220*ABS(AS220)^1.85,$H220*ABS(AS220)^1.85)</f>
        <v>1.0742845207748513</v>
      </c>
      <c r="AU220" s="84">
        <f>1.85*ABS(AT220/AS220)</f>
        <v>0.007867502302202395</v>
      </c>
      <c r="AV220" s="111">
        <f>-AT224/AU224</f>
        <v>0.0203451654070395</v>
      </c>
      <c r="AW220" s="104">
        <f>AS220+AV220-AV209</f>
        <v>252.6127795495902</v>
      </c>
      <c r="AX220" s="81">
        <f>IF(AW220&lt;0,-$H220*ABS(AW220)^1.85,$H220*ABS(AW220)^1.85)</f>
        <v>1.0742897820194441</v>
      </c>
      <c r="AY220" s="84">
        <f>1.85*ABS(AX220/AW220)</f>
        <v>0.007867520005439076</v>
      </c>
      <c r="AZ220" s="111">
        <f>-AX224/AY224</f>
        <v>0.0076079858736588435</v>
      </c>
      <c r="BA220" s="104">
        <f>AW220+AZ220-AZ209</f>
        <v>252.61286841008314</v>
      </c>
      <c r="BB220" s="81">
        <f>IF(BA220&lt;0,-$H220*ABS(BA220)^1.85,$H220*ABS(BA220)^1.85)</f>
        <v>1.0742904811312537</v>
      </c>
      <c r="BC220" s="84">
        <f>1.85*ABS(BB220/BA220)</f>
        <v>0.007867522357833652</v>
      </c>
      <c r="BD220" s="119">
        <f>-BB224/BC224</f>
        <v>0.002648350779618163</v>
      </c>
    </row>
    <row r="221" spans="2:56" ht="15">
      <c r="B221" s="26"/>
      <c r="C221" s="66" t="s">
        <v>78</v>
      </c>
      <c r="D221" s="44" t="s">
        <v>98</v>
      </c>
      <c r="E221" s="47">
        <f t="shared" si="7"/>
        <v>8</v>
      </c>
      <c r="F221" s="47">
        <f t="shared" si="7"/>
        <v>130</v>
      </c>
      <c r="G221" s="74">
        <f t="shared" si="7"/>
        <v>800</v>
      </c>
      <c r="H221" s="79">
        <f>10.48*G221/(F221^1.85*E221^4.87)</f>
        <v>4.1172556218420956E-05</v>
      </c>
      <c r="I221" s="87">
        <f>N141</f>
        <v>900.9765625</v>
      </c>
      <c r="J221" s="81">
        <f>IF(I221&lt;0,-$H221*ABS(I221)^1.85,$H221*ABS(I221)^1.85)</f>
        <v>12.045582167072729</v>
      </c>
      <c r="K221" s="84">
        <f>1.85*ABS(J221/I221)</f>
        <v>0.02473352575038216</v>
      </c>
      <c r="L221" s="97">
        <f>L220</f>
        <v>-163.71526710978333</v>
      </c>
      <c r="M221" s="46">
        <f t="shared" si="6"/>
        <v>737.2612953902167</v>
      </c>
      <c r="N221" s="81">
        <f>IF(M221&lt;0,-$H221*ABS(M221)^1.85,$H221*ABS(M221)^1.85)</f>
        <v>8.312037348118109</v>
      </c>
      <c r="O221" s="84">
        <f>1.85*ABS(N221/M221)</f>
        <v>0.020857285185274296</v>
      </c>
      <c r="P221" s="97">
        <f>P220</f>
        <v>143.6050480232946</v>
      </c>
      <c r="Q221" s="46">
        <f>M221+P221</f>
        <v>880.8663434135112</v>
      </c>
      <c r="R221" s="81">
        <f>IF(Q221&lt;0,-$H221*ABS(Q221)^1.85,$H221*ABS(Q221)^1.85)</f>
        <v>11.552909248834823</v>
      </c>
      <c r="S221" s="84">
        <f>1.85*ABS(R221/Q221)</f>
        <v>0.02426347909663657</v>
      </c>
      <c r="T221" s="97">
        <f>T220</f>
        <v>22.44085538580182</v>
      </c>
      <c r="U221" s="46">
        <f>Q221+T221</f>
        <v>903.307198799313</v>
      </c>
      <c r="V221" s="81">
        <f>IF(U221&lt;0,-$H221*ABS(U221)^1.85,$H221*ABS(U221)^1.85)</f>
        <v>12.10329038571231</v>
      </c>
      <c r="W221" s="84">
        <f>1.85*ABS(V221/U221)</f>
        <v>0.024787898561342454</v>
      </c>
      <c r="X221" s="97">
        <f>X220</f>
        <v>9.525278128692173</v>
      </c>
      <c r="Y221" s="46">
        <f>U221+X221</f>
        <v>912.8324769280052</v>
      </c>
      <c r="Z221" s="81">
        <f>IF(Y221&lt;0,-$H221*ABS(Y221)^1.85,$H221*ABS(Y221)^1.85)</f>
        <v>12.340459610592102</v>
      </c>
      <c r="AA221" s="84">
        <f>1.85*ABS(Z221/Y221)</f>
        <v>0.025009901440432615</v>
      </c>
      <c r="AB221" s="149">
        <f>AB220</f>
        <v>3.7672798552001634</v>
      </c>
      <c r="AC221" s="46">
        <f>Y221+AB221</f>
        <v>916.5997567832054</v>
      </c>
      <c r="AD221" s="81">
        <f>IF(AC221&lt;0,-$H221*ABS(AC221)^1.85,$H221*ABS(AC221)^1.85)</f>
        <v>12.434844133588255</v>
      </c>
      <c r="AE221" s="84">
        <f>1.85*ABS(AD221/AC221)</f>
        <v>0.02509760828201845</v>
      </c>
      <c r="AF221" s="97">
        <f>AF220</f>
        <v>1.1698079747241739</v>
      </c>
      <c r="AG221" s="46">
        <f>AC221+AF221</f>
        <v>917.7695647579296</v>
      </c>
      <c r="AH221" s="81">
        <f>IF(AG221&lt;0,-$H221*ABS(AG221)^1.85,$H221*ABS(AG221)^1.85)</f>
        <v>12.464219439566163</v>
      </c>
      <c r="AI221" s="84">
        <f>1.85*ABS(AH221/AG221)</f>
        <v>0.025124831819062752</v>
      </c>
      <c r="AJ221" s="97">
        <f>AJ220</f>
        <v>0.47647398495256704</v>
      </c>
      <c r="AK221" s="46">
        <f>AG221+AJ221</f>
        <v>918.2460387428822</v>
      </c>
      <c r="AL221" s="81">
        <f>IF(AK221&lt;0,-$H221*ABS(AK221)^1.85,$H221*ABS(AK221)^1.85)</f>
        <v>12.476193409651854</v>
      </c>
      <c r="AM221" s="84">
        <f>1.85*ABS(AL221/AK221)</f>
        <v>0.025135918734215005</v>
      </c>
      <c r="AN221" s="97">
        <f>AN220</f>
        <v>0.15493516560132511</v>
      </c>
      <c r="AO221" s="46">
        <f>AK221+AN221</f>
        <v>918.4009739084835</v>
      </c>
      <c r="AP221" s="81">
        <f>IF(AO221&lt;0,-$H221*ABS(AO221)^1.85,$H221*ABS(AO221)^1.85)</f>
        <v>12.480088126651346</v>
      </c>
      <c r="AQ221" s="84">
        <f>1.85*ABS(AP221/AO221)</f>
        <v>0.025139523683263942</v>
      </c>
      <c r="AR221" s="86">
        <f>AR220</f>
        <v>0.05992908302894227</v>
      </c>
      <c r="AS221" s="46">
        <f>AO221+AR221</f>
        <v>918.4609029915124</v>
      </c>
      <c r="AT221" s="81">
        <f>IF(AS221&lt;0,-$H221*ABS(AS221)^1.85,$H221*ABS(AS221)^1.85)</f>
        <v>12.4815947570353</v>
      </c>
      <c r="AU221" s="84">
        <f>1.85*ABS(AT221/AS221)</f>
        <v>0.025140918056833925</v>
      </c>
      <c r="AV221" s="86">
        <f>AV220</f>
        <v>0.0203451654070395</v>
      </c>
      <c r="AW221" s="46">
        <f>AS221+AV221</f>
        <v>918.4812481569195</v>
      </c>
      <c r="AX221" s="81">
        <f>IF(AW221&lt;0,-$H221*ABS(AW221)^1.85,$H221*ABS(AW221)^1.85)</f>
        <v>12.482106257987043</v>
      </c>
      <c r="AY221" s="84">
        <f>1.85*ABS(AX221/AW221)</f>
        <v>0.02514139142591494</v>
      </c>
      <c r="AZ221" s="86">
        <f>AZ220</f>
        <v>0.0076079858736588435</v>
      </c>
      <c r="BA221" s="46">
        <f>AW221+AZ221</f>
        <v>918.4888561427931</v>
      </c>
      <c r="BB221" s="81">
        <f>IF(BA221&lt;0,-$H221*ABS(BA221)^1.85,$H221*ABS(BA221)^1.85)</f>
        <v>12.482297534011222</v>
      </c>
      <c r="BC221" s="84">
        <f>1.85*ABS(BB221/BA221)</f>
        <v>0.025141568439814275</v>
      </c>
      <c r="BD221" s="117">
        <f>BD220</f>
        <v>0.002648350779618163</v>
      </c>
    </row>
    <row r="222" spans="2:56" ht="15">
      <c r="B222" s="26"/>
      <c r="C222" s="66" t="s">
        <v>96</v>
      </c>
      <c r="D222" s="44" t="s">
        <v>99</v>
      </c>
      <c r="E222" s="47">
        <f t="shared" si="7"/>
        <v>8</v>
      </c>
      <c r="F222" s="47">
        <f t="shared" si="7"/>
        <v>130</v>
      </c>
      <c r="G222" s="74">
        <f t="shared" si="7"/>
        <v>750</v>
      </c>
      <c r="H222" s="79">
        <f>10.48*G222/(F222^1.85*E222^4.87)</f>
        <v>3.859927145476965E-05</v>
      </c>
      <c r="I222" s="87">
        <f>N142</f>
        <v>-900.9765625</v>
      </c>
      <c r="J222" s="81">
        <f>IF(I222&lt;0,-$H222*ABS(I222)^1.85,$H222*ABS(I222)^1.85)</f>
        <v>-11.292733281630683</v>
      </c>
      <c r="K222" s="84">
        <f>1.85*ABS(J222/I222)</f>
        <v>0.023187680390983272</v>
      </c>
      <c r="L222" s="97">
        <f>L221</f>
        <v>-163.71526710978333</v>
      </c>
      <c r="M222" s="46">
        <f t="shared" si="6"/>
        <v>-1064.6918296097833</v>
      </c>
      <c r="N222" s="81">
        <f>IF(M222&lt;0,-$H222*ABS(M222)^1.85,$H222*ABS(M222)^1.85)</f>
        <v>-15.379540570349887</v>
      </c>
      <c r="O222" s="84">
        <f>1.85*ABS(N222/M222)</f>
        <v>0.026723366577890616</v>
      </c>
      <c r="P222" s="97">
        <f>P221</f>
        <v>143.6050480232946</v>
      </c>
      <c r="Q222" s="46">
        <f>M222+P222</f>
        <v>-921.0867815864888</v>
      </c>
      <c r="R222" s="81">
        <f>IF(Q222&lt;0,-$H222*ABS(Q222)^1.85,$H222*ABS(Q222)^1.85)</f>
        <v>-11.763461212248322</v>
      </c>
      <c r="S222" s="84">
        <f>1.85*ABS(R222/Q222)</f>
        <v>0.02362687607477726</v>
      </c>
      <c r="T222" s="97">
        <f>T221</f>
        <v>22.44085538580182</v>
      </c>
      <c r="U222" s="46">
        <f>Q222+T222</f>
        <v>-898.645926200687</v>
      </c>
      <c r="V222" s="81">
        <f>IF(U222&lt;0,-$H222*ABS(U222)^1.85,$H222*ABS(U222)^1.85)</f>
        <v>-11.238750652742013</v>
      </c>
      <c r="W222" s="84">
        <f>1.85*ABS(V222/U222)</f>
        <v>0.023136686097800764</v>
      </c>
      <c r="X222" s="97">
        <f>X221</f>
        <v>9.525278128692173</v>
      </c>
      <c r="Y222" s="46">
        <f>U222+X222</f>
        <v>-889.1206480719948</v>
      </c>
      <c r="Z222" s="81">
        <f>IF(Y222&lt;0,-$H222*ABS(Y222)^1.85,$H222*ABS(Y222)^1.85)</f>
        <v>-11.019360599107452</v>
      </c>
      <c r="AA222" s="84">
        <f>1.85*ABS(Z222/Y222)</f>
        <v>0.022928066233254416</v>
      </c>
      <c r="AB222" s="149">
        <f>AB221</f>
        <v>3.7672798552001634</v>
      </c>
      <c r="AC222" s="46">
        <f>Y222+AB222</f>
        <v>-885.3533682167946</v>
      </c>
      <c r="AD222" s="81">
        <f>IF(AC222&lt;0,-$H222*ABS(AC222)^1.85,$H222*ABS(AC222)^1.85)</f>
        <v>-10.933139733403777</v>
      </c>
      <c r="AE222" s="84">
        <f>1.85*ABS(AD222/AC222)</f>
        <v>0.02284546400668825</v>
      </c>
      <c r="AF222" s="97">
        <f>AF221</f>
        <v>1.1698079747241739</v>
      </c>
      <c r="AG222" s="46">
        <f>AC222+AF222</f>
        <v>-884.1835602420704</v>
      </c>
      <c r="AH222" s="81">
        <f>IF(AG222&lt;0,-$H222*ABS(AG222)^1.85,$H222*ABS(AG222)^1.85)</f>
        <v>-10.90642993567492</v>
      </c>
      <c r="AI222" s="84">
        <f>1.85*ABS(AH222/AG222)</f>
        <v>0.022819803814803575</v>
      </c>
      <c r="AJ222" s="97">
        <f>AJ221</f>
        <v>0.47647398495256704</v>
      </c>
      <c r="AK222" s="46">
        <f>AG222+AJ222</f>
        <v>-883.7070862571178</v>
      </c>
      <c r="AL222" s="81">
        <f>IF(AK222&lt;0,-$H222*ABS(AK222)^1.85,$H222*ABS(AK222)^1.85)</f>
        <v>-10.895559383097222</v>
      </c>
      <c r="AM222" s="84">
        <f>1.85*ABS(AL222/AK222)</f>
        <v>0.02280935071382371</v>
      </c>
      <c r="AN222" s="97">
        <f>AN221</f>
        <v>0.15493516560132511</v>
      </c>
      <c r="AO222" s="46">
        <f>AK222+AN222</f>
        <v>-883.5521510915165</v>
      </c>
      <c r="AP222" s="81">
        <f>IF(AO222&lt;0,-$H222*ABS(AO222)^1.85,$H222*ABS(AO222)^1.85)</f>
        <v>-10.8920256758953</v>
      </c>
      <c r="AQ222" s="84">
        <f>1.85*ABS(AP222/AO222)</f>
        <v>0.022805951494219365</v>
      </c>
      <c r="AR222" s="86">
        <f>AR221</f>
        <v>0.05992908302894227</v>
      </c>
      <c r="AS222" s="46">
        <f>AO222+AR222</f>
        <v>-883.4922220084876</v>
      </c>
      <c r="AT222" s="81">
        <f>IF(AS222&lt;0,-$H222*ABS(AS222)^1.85,$H222*ABS(AS222)^1.85)</f>
        <v>-10.890658975533334</v>
      </c>
      <c r="AU222" s="84">
        <f>1.85*ABS(AT222/AS222)</f>
        <v>0.02280463664856476</v>
      </c>
      <c r="AV222" s="86">
        <f>AV221</f>
        <v>0.0203451654070395</v>
      </c>
      <c r="AW222" s="46">
        <f>AS222+AV222</f>
        <v>-883.4718768430805</v>
      </c>
      <c r="AX222" s="81">
        <f>IF(AW222&lt;0,-$H222*ABS(AW222)^1.85,$H222*ABS(AW222)^1.85)</f>
        <v>-10.890195015969473</v>
      </c>
      <c r="AY222" s="84">
        <f>1.85*ABS(AX222/AW222)</f>
        <v>0.022804190272059953</v>
      </c>
      <c r="AZ222" s="86">
        <f>AZ221</f>
        <v>0.0076079858736588435</v>
      </c>
      <c r="BA222" s="46">
        <f>AW222+AZ222</f>
        <v>-883.4642688572069</v>
      </c>
      <c r="BB222" s="81">
        <f>IF(BA222&lt;0,-$H222*ABS(BA222)^1.85,$H222*ABS(BA222)^1.85)</f>
        <v>-10.890021522646979</v>
      </c>
      <c r="BC222" s="84">
        <f>1.85*ABS(BB222/BA222)</f>
        <v>0.022804023351116615</v>
      </c>
      <c r="BD222" s="117">
        <f>BD221</f>
        <v>0.002648350779618163</v>
      </c>
    </row>
    <row r="223" spans="2:56" ht="15">
      <c r="B223" s="26"/>
      <c r="C223" s="66"/>
      <c r="D223" s="105" t="s">
        <v>100</v>
      </c>
      <c r="E223" s="47">
        <f t="shared" si="7"/>
        <v>8</v>
      </c>
      <c r="F223" s="47">
        <f t="shared" si="7"/>
        <v>130</v>
      </c>
      <c r="G223" s="74">
        <f t="shared" si="7"/>
        <v>800</v>
      </c>
      <c r="H223" s="79">
        <f>10.48*G223/(F223^1.85*E223^4.87)</f>
        <v>4.1172556218420956E-05</v>
      </c>
      <c r="I223" s="87">
        <f>N143</f>
        <v>-50</v>
      </c>
      <c r="J223" s="81">
        <f>IF(I223&lt;0,-$H223*ABS(I223)^1.85,$H223*ABS(I223)^1.85)</f>
        <v>-0.057240357726685134</v>
      </c>
      <c r="K223" s="84">
        <f>1.85*ABS(J223/I223)</f>
        <v>0.00211789323588735</v>
      </c>
      <c r="L223" s="97">
        <f>L222</f>
        <v>-163.71526710978333</v>
      </c>
      <c r="M223" s="108">
        <f>I223+L223-L215</f>
        <v>-356.07254665693</v>
      </c>
      <c r="N223" s="81">
        <f>IF(M223&lt;0,-$H223*ABS(M223)^1.85,$H223*ABS(M223)^1.85)</f>
        <v>-2.1624896571303456</v>
      </c>
      <c r="O223" s="84">
        <f>1.85*ABS(N223/M223)</f>
        <v>0.011235367352107763</v>
      </c>
      <c r="P223" s="97">
        <f>P222</f>
        <v>143.6050480232946</v>
      </c>
      <c r="Q223" s="108">
        <f>M223+P223-P215</f>
        <v>-387.7003152171703</v>
      </c>
      <c r="R223" s="81">
        <f>IF(Q223&lt;0,-$H223*ABS(Q223)^1.85,$H223*ABS(Q223)^1.85)</f>
        <v>-2.5311956550194092</v>
      </c>
      <c r="S223" s="84">
        <f>1.85*ABS(R223/Q223)</f>
        <v>0.012078174244359039</v>
      </c>
      <c r="T223" s="97">
        <f>T222</f>
        <v>22.44085538580182</v>
      </c>
      <c r="U223" s="108">
        <f>Q223+T223-T215</f>
        <v>-390.49821308116543</v>
      </c>
      <c r="V223" s="81">
        <f>IF(U223&lt;0,-$H223*ABS(U223)^1.85,$H223*ABS(U223)^1.85)</f>
        <v>-2.56509276286582</v>
      </c>
      <c r="W223" s="84">
        <f>1.85*ABS(V223/U223)</f>
        <v>0.012152223626988602</v>
      </c>
      <c r="X223" s="97">
        <f>X222</f>
        <v>9.525278128692173</v>
      </c>
      <c r="Y223" s="108">
        <f>U223+X223-X215</f>
        <v>-397.7427261976026</v>
      </c>
      <c r="Z223" s="81">
        <f>IF(Y223&lt;0,-$H223*ABS(Y223)^1.85,$H223*ABS(Y223)^1.85)</f>
        <v>-2.6538232010055034</v>
      </c>
      <c r="AA223" s="84">
        <f>1.85*ABS(Z223/Y223)</f>
        <v>0.012343589457424939</v>
      </c>
      <c r="AB223" s="149">
        <f>AB222</f>
        <v>3.7672798552001634</v>
      </c>
      <c r="AC223" s="108">
        <f>Y223+AB223-AB215</f>
        <v>-397.8342293286272</v>
      </c>
      <c r="AD223" s="81">
        <f>IF(AC223&lt;0,-$H223*ABS(AC223)^1.85,$H223*ABS(AC223)^1.85)</f>
        <v>-2.654952788520971</v>
      </c>
      <c r="AE223" s="84">
        <f>1.85*ABS(AD223/AC223)</f>
        <v>0.012346003175876965</v>
      </c>
      <c r="AF223" s="97">
        <f>AF222</f>
        <v>1.1698079747241739</v>
      </c>
      <c r="AG223" s="108">
        <f>AC223+AF223-AF215</f>
        <v>-398.61083084582975</v>
      </c>
      <c r="AH223" s="81">
        <f>IF(AG223&lt;0,-$H223*ABS(AG223)^1.85,$H223*ABS(AG223)^1.85)</f>
        <v>-2.6645486669832836</v>
      </c>
      <c r="AI223" s="84">
        <f>1.85*ABS(AH223/AG223)</f>
        <v>0.01236648543507745</v>
      </c>
      <c r="AJ223" s="97">
        <f>AJ222</f>
        <v>0.47647398495256704</v>
      </c>
      <c r="AK223" s="108">
        <f>AG223+AJ223-AJ215</f>
        <v>-398.681719253958</v>
      </c>
      <c r="AL223" s="81">
        <f>IF(AK223&lt;0,-$H223*ABS(AK223)^1.85,$H223*ABS(AK223)^1.85)</f>
        <v>-2.6654253737070657</v>
      </c>
      <c r="AM223" s="84">
        <f>1.85*ABS(AL223/AK223)</f>
        <v>0.012368354763256723</v>
      </c>
      <c r="AN223" s="97">
        <f>AN222</f>
        <v>0.15493516560132511</v>
      </c>
      <c r="AO223" s="108">
        <f>AK223+AN223-AN215</f>
        <v>-398.76302919710537</v>
      </c>
      <c r="AP223" s="81">
        <f>IF(AO223&lt;0,-$H223*ABS(AO223)^1.85,$H223*ABS(AO223)^1.85)</f>
        <v>-2.6664311310977604</v>
      </c>
      <c r="AQ223" s="84">
        <f>1.85*ABS(AP223/AO223)</f>
        <v>0.012370498846051662</v>
      </c>
      <c r="AR223" s="86">
        <f>AR222</f>
        <v>0.05992908302894227</v>
      </c>
      <c r="AS223" s="108">
        <f>AO223+AR223-AR215</f>
        <v>-398.77728746364807</v>
      </c>
      <c r="AT223" s="81">
        <f>IF(AS223&lt;0,-$H223*ABS(AS223)^1.85,$H223*ABS(AS223)^1.85)</f>
        <v>-2.666607515647935</v>
      </c>
      <c r="AU223" s="84">
        <f>1.85*ABS(AT223/AS223)</f>
        <v>0.01237087481918936</v>
      </c>
      <c r="AV223" s="86">
        <f>AV222</f>
        <v>0.0203451654070395</v>
      </c>
      <c r="AW223" s="108">
        <f>AS223+AV223-AV215</f>
        <v>-398.7863613453022</v>
      </c>
      <c r="AX223" s="81">
        <f>IF(AW223&lt;0,-$H223*ABS(AW223)^1.85,$H223*ABS(AW223)^1.85)</f>
        <v>-2.666719768587541</v>
      </c>
      <c r="AY223" s="84">
        <f>1.85*ABS(AX223/AW223)</f>
        <v>0.012371114085356539</v>
      </c>
      <c r="AZ223" s="86">
        <f>AZ222</f>
        <v>0.0076079858736588435</v>
      </c>
      <c r="BA223" s="108">
        <f>AW223+AZ223-AZ215</f>
        <v>-398.7885680787998</v>
      </c>
      <c r="BB223" s="81">
        <f>IF(BA223&lt;0,-$H223*ABS(BA223)^1.85,$H223*ABS(BA223)^1.85)</f>
        <v>-2.6667470684036014</v>
      </c>
      <c r="BC223" s="84">
        <f>1.85*ABS(BB223/BA223)</f>
        <v>0.012371172273854694</v>
      </c>
      <c r="BD223" s="117">
        <f>BD222</f>
        <v>0.002648350779618163</v>
      </c>
    </row>
    <row r="224" spans="2:56" ht="15">
      <c r="B224" s="26"/>
      <c r="C224" s="66"/>
      <c r="D224" s="11"/>
      <c r="E224" s="11"/>
      <c r="F224" s="11"/>
      <c r="G224" s="11"/>
      <c r="H224" s="40"/>
      <c r="I224" s="44" t="s">
        <v>120</v>
      </c>
      <c r="J224" s="80">
        <f>SUM(J219:J223)</f>
        <v>11.988341809346043</v>
      </c>
      <c r="K224" s="80">
        <f>SUM(K219:K223)</f>
        <v>0.07322677976823605</v>
      </c>
      <c r="L224" s="6"/>
      <c r="M224" s="44" t="s">
        <v>120</v>
      </c>
      <c r="N224" s="80">
        <f>SUM(N219:N223)</f>
        <v>-9.001300181505776</v>
      </c>
      <c r="O224" s="80">
        <f>SUM(O219:O223)</f>
        <v>0.06268094545009065</v>
      </c>
      <c r="P224" s="6"/>
      <c r="Q224" s="44" t="s">
        <v>120</v>
      </c>
      <c r="R224" s="80">
        <f>SUM(R219:R223)</f>
        <v>-1.5321864956757056</v>
      </c>
      <c r="S224" s="80">
        <f>SUM(S219:S223)</f>
        <v>0.06827665297665568</v>
      </c>
      <c r="T224" s="6"/>
      <c r="U224" s="44" t="s">
        <v>120</v>
      </c>
      <c r="V224" s="80">
        <f>SUM(V219:V223)</f>
        <v>-0.6465355314678796</v>
      </c>
      <c r="W224" s="80">
        <f>SUM(W219:W223)</f>
        <v>0.06787576412287388</v>
      </c>
      <c r="X224" s="6"/>
      <c r="Y224" s="44" t="s">
        <v>120</v>
      </c>
      <c r="Z224" s="80">
        <f>SUM(Z219:Z223)</f>
        <v>-0.2567578884985857</v>
      </c>
      <c r="AA224" s="80">
        <f>SUM(AA219:AA223)</f>
        <v>0.06815471596679235</v>
      </c>
      <c r="AB224" s="152"/>
      <c r="AC224" s="44" t="s">
        <v>120</v>
      </c>
      <c r="AD224" s="80">
        <f>SUM(AD219:AD223)</f>
        <v>-0.07972710336059485</v>
      </c>
      <c r="AE224" s="80">
        <f>SUM(AE219:AE223)</f>
        <v>0.0681540091051213</v>
      </c>
      <c r="AF224" s="6"/>
      <c r="AG224" s="44" t="s">
        <v>120</v>
      </c>
      <c r="AH224" s="80">
        <f>SUM(AH219:AH223)</f>
        <v>-0.03248532324188513</v>
      </c>
      <c r="AI224" s="80">
        <f>SUM(AI219:AI223)</f>
        <v>0.06817858743141883</v>
      </c>
      <c r="AJ224" s="6"/>
      <c r="AK224" s="44" t="s">
        <v>120</v>
      </c>
      <c r="AL224" s="80">
        <f>SUM(AL219:AL223)</f>
        <v>-0.010563624516117809</v>
      </c>
      <c r="AM224" s="80">
        <f>SUM(AM219:AM223)</f>
        <v>0.06818093539396883</v>
      </c>
      <c r="AN224" s="6"/>
      <c r="AO224" s="44" t="s">
        <v>120</v>
      </c>
      <c r="AP224" s="80">
        <f>SUM(AP219:AP223)</f>
        <v>-0.00408617280795287</v>
      </c>
      <c r="AQ224" s="80">
        <f>SUM(AQ219:AQ223)</f>
        <v>0.06818346955149449</v>
      </c>
      <c r="AR224" s="83"/>
      <c r="AS224" s="44" t="s">
        <v>120</v>
      </c>
      <c r="AT224" s="80">
        <f>SUM(AT219:AT223)</f>
        <v>-0.0013872133711183565</v>
      </c>
      <c r="AU224" s="80">
        <f>SUM(AU219:AU223)</f>
        <v>0.06818393182679044</v>
      </c>
      <c r="AV224" s="83"/>
      <c r="AW224" s="44" t="s">
        <v>120</v>
      </c>
      <c r="AX224" s="80">
        <f>SUM(AX219:AX223)</f>
        <v>-0.0005187445505274724</v>
      </c>
      <c r="AY224" s="80">
        <f>SUM(AY219:AY223)</f>
        <v>0.06818421578877051</v>
      </c>
      <c r="AZ224" s="83"/>
      <c r="BA224" s="44" t="s">
        <v>120</v>
      </c>
      <c r="BB224" s="80">
        <f>SUM(BB219:BB223)</f>
        <v>-0.00018057590810505175</v>
      </c>
      <c r="BC224" s="80">
        <f>SUM(BC219:BC223)</f>
        <v>0.06818428642261923</v>
      </c>
      <c r="BD224" s="120"/>
    </row>
    <row r="225" spans="2:56" ht="15.75" thickBot="1">
      <c r="B225" s="26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139"/>
      <c r="AC225" s="30"/>
      <c r="AD225" s="153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3"/>
    </row>
    <row r="226" spans="2:30" ht="16.5" thickBot="1" thickTop="1">
      <c r="B226" s="29"/>
      <c r="C226" s="30"/>
      <c r="D226" s="239"/>
      <c r="E226" s="30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138"/>
      <c r="AC226" s="6"/>
      <c r="AD226" s="6"/>
    </row>
    <row r="227" spans="2:30" ht="15.75" thickTop="1">
      <c r="B227" s="6"/>
      <c r="C227" s="6"/>
      <c r="D227" s="4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138"/>
      <c r="AC227" s="6"/>
      <c r="AD227" s="6"/>
    </row>
    <row r="228" ht="15.75" thickBot="1"/>
    <row r="229" spans="2:28" ht="15.75" thickTop="1"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135">
        <v>7</v>
      </c>
    </row>
    <row r="230" spans="2:28" ht="15">
      <c r="B230" s="2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136"/>
    </row>
    <row r="231" spans="2:28" ht="15.75">
      <c r="B231" s="26"/>
      <c r="C231" s="174" t="s">
        <v>191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74" t="s">
        <v>131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136"/>
    </row>
    <row r="232" spans="2:28" ht="15">
      <c r="B232" s="2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136"/>
    </row>
    <row r="233" spans="2:28" ht="15.75" thickBot="1">
      <c r="B233" s="26"/>
      <c r="C233" s="211" t="s">
        <v>195</v>
      </c>
      <c r="M233" s="6"/>
      <c r="N233" s="6"/>
      <c r="O233" s="6" t="s">
        <v>201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136"/>
    </row>
    <row r="234" spans="2:28" ht="18.75" thickTop="1">
      <c r="B234" s="26"/>
      <c r="C234" s="35" t="s">
        <v>85</v>
      </c>
      <c r="D234" s="52"/>
      <c r="E234" s="36" t="s">
        <v>86</v>
      </c>
      <c r="F234" s="36" t="s">
        <v>41</v>
      </c>
      <c r="G234" s="36" t="s">
        <v>87</v>
      </c>
      <c r="H234" s="36" t="s">
        <v>88</v>
      </c>
      <c r="I234" s="36" t="s">
        <v>89</v>
      </c>
      <c r="J234" s="36" t="s">
        <v>90</v>
      </c>
      <c r="K234" s="52"/>
      <c r="L234" s="204" t="s">
        <v>190</v>
      </c>
      <c r="M234" s="6"/>
      <c r="N234" s="6"/>
      <c r="O234" s="27"/>
      <c r="P234" s="28"/>
      <c r="Q234" s="28"/>
      <c r="R234" s="28"/>
      <c r="S234" s="28"/>
      <c r="T234" s="28"/>
      <c r="U234" s="193" t="s">
        <v>178</v>
      </c>
      <c r="V234" s="28"/>
      <c r="W234" s="194"/>
      <c r="X234" s="28"/>
      <c r="Y234" s="31"/>
      <c r="Z234" s="6"/>
      <c r="AA234" s="6"/>
      <c r="AB234" s="136"/>
    </row>
    <row r="235" spans="2:28" ht="15">
      <c r="B235" s="26"/>
      <c r="C235" s="50"/>
      <c r="D235" s="6"/>
      <c r="E235" s="6"/>
      <c r="F235" s="6"/>
      <c r="G235" s="53" t="s">
        <v>114</v>
      </c>
      <c r="H235" s="6"/>
      <c r="I235" s="6" t="s">
        <v>117</v>
      </c>
      <c r="J235" s="6" t="s">
        <v>118</v>
      </c>
      <c r="K235" s="6"/>
      <c r="L235" s="133" t="s">
        <v>189</v>
      </c>
      <c r="M235" s="6"/>
      <c r="N235" s="6"/>
      <c r="O235" s="26"/>
      <c r="P235" s="6"/>
      <c r="Q235" s="123" t="s">
        <v>180</v>
      </c>
      <c r="R235" s="127"/>
      <c r="S235" s="127"/>
      <c r="T235" s="125" t="s">
        <v>156</v>
      </c>
      <c r="U235" s="176" t="s">
        <v>179</v>
      </c>
      <c r="V235" s="88"/>
      <c r="W235" s="175"/>
      <c r="X235" s="201" t="s">
        <v>130</v>
      </c>
      <c r="Y235" s="196"/>
      <c r="Z235" s="6"/>
      <c r="AA235" s="6"/>
      <c r="AB235" s="136"/>
    </row>
    <row r="236" spans="2:28" ht="18">
      <c r="B236" s="26"/>
      <c r="C236" s="37" t="s">
        <v>101</v>
      </c>
      <c r="D236" s="53" t="str">
        <f aca="true" t="shared" si="8" ref="D236:J236">D202</f>
        <v>A-J</v>
      </c>
      <c r="E236" s="53">
        <f t="shared" si="8"/>
        <v>8</v>
      </c>
      <c r="F236" s="53">
        <f t="shared" si="8"/>
        <v>130</v>
      </c>
      <c r="G236" s="53">
        <f t="shared" si="8"/>
        <v>100</v>
      </c>
      <c r="H236" s="129">
        <f t="shared" si="8"/>
        <v>5.1465695273026196E-06</v>
      </c>
      <c r="I236" s="69">
        <f t="shared" si="8"/>
        <v>2113.671875</v>
      </c>
      <c r="J236" s="69">
        <f t="shared" si="8"/>
        <v>7.29184361869022</v>
      </c>
      <c r="K236" s="88"/>
      <c r="L236" s="76">
        <f>J236/G236*1000</f>
        <v>72.9184361869022</v>
      </c>
      <c r="M236" s="6"/>
      <c r="N236" s="6"/>
      <c r="O236" s="26"/>
      <c r="P236" s="99" t="s">
        <v>166</v>
      </c>
      <c r="Q236" s="100" t="s">
        <v>134</v>
      </c>
      <c r="R236" s="100" t="s">
        <v>135</v>
      </c>
      <c r="S236" s="50" t="s">
        <v>136</v>
      </c>
      <c r="T236" s="177" t="s">
        <v>183</v>
      </c>
      <c r="U236" s="6"/>
      <c r="V236" s="11"/>
      <c r="W236" s="122" t="s">
        <v>161</v>
      </c>
      <c r="X236" s="130" t="s">
        <v>163</v>
      </c>
      <c r="Y236" s="32"/>
      <c r="Z236" s="6"/>
      <c r="AA236" s="6"/>
      <c r="AB236" s="136"/>
    </row>
    <row r="237" spans="2:28" ht="15.75" thickBot="1">
      <c r="B237" s="26"/>
      <c r="C237" s="18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6"/>
      <c r="P237" s="44" t="s">
        <v>0</v>
      </c>
      <c r="Q237" s="126" t="s">
        <v>157</v>
      </c>
      <c r="R237" s="44" t="s">
        <v>157</v>
      </c>
      <c r="S237" s="44" t="s">
        <v>157</v>
      </c>
      <c r="T237" s="43" t="s">
        <v>157</v>
      </c>
      <c r="U237" s="6"/>
      <c r="V237" s="11"/>
      <c r="W237" s="92" t="s">
        <v>1</v>
      </c>
      <c r="X237" s="75" t="s">
        <v>1</v>
      </c>
      <c r="Y237" s="197" t="s">
        <v>162</v>
      </c>
      <c r="Z237" s="6"/>
      <c r="AA237" s="6"/>
      <c r="AB237" s="136"/>
    </row>
    <row r="238" spans="2:28" ht="16.5" thickBot="1" thickTop="1">
      <c r="B238" s="26"/>
      <c r="C238" s="27"/>
      <c r="D238" s="112">
        <v>1</v>
      </c>
      <c r="E238" s="113" t="s">
        <v>129</v>
      </c>
      <c r="F238" s="113"/>
      <c r="G238" s="114"/>
      <c r="H238" s="113">
        <v>12</v>
      </c>
      <c r="I238" s="113" t="s">
        <v>129</v>
      </c>
      <c r="J238" s="113"/>
      <c r="K238" s="113"/>
      <c r="L238" s="188"/>
      <c r="O238" s="187" t="s">
        <v>177</v>
      </c>
      <c r="P238" s="131" t="s">
        <v>42</v>
      </c>
      <c r="Q238" s="43">
        <v>-100</v>
      </c>
      <c r="R238" s="43">
        <v>1200</v>
      </c>
      <c r="S238" s="37">
        <f aca="true" t="shared" si="9" ref="S238:S246">G12</f>
        <v>250</v>
      </c>
      <c r="T238" s="94"/>
      <c r="U238" s="44" t="s">
        <v>159</v>
      </c>
      <c r="V238" s="101"/>
      <c r="W238" s="85">
        <f>J236</f>
        <v>7.29184361869022</v>
      </c>
      <c r="X238" s="101"/>
      <c r="Y238" s="198"/>
      <c r="AB238" s="136"/>
    </row>
    <row r="239" spans="2:28" ht="18">
      <c r="B239" s="26"/>
      <c r="C239" s="26"/>
      <c r="D239" s="34" t="s">
        <v>85</v>
      </c>
      <c r="E239" s="11" t="s">
        <v>86</v>
      </c>
      <c r="F239" s="11" t="s">
        <v>41</v>
      </c>
      <c r="G239" s="116" t="s">
        <v>87</v>
      </c>
      <c r="H239" s="49" t="s">
        <v>121</v>
      </c>
      <c r="I239" s="11" t="s">
        <v>90</v>
      </c>
      <c r="J239" s="77" t="s">
        <v>116</v>
      </c>
      <c r="K239" s="49" t="s">
        <v>122</v>
      </c>
      <c r="L239" s="202" t="s">
        <v>192</v>
      </c>
      <c r="O239" s="186"/>
      <c r="P239" s="126" t="s">
        <v>34</v>
      </c>
      <c r="Q239" s="44">
        <v>1500</v>
      </c>
      <c r="R239" s="44">
        <v>1200</v>
      </c>
      <c r="S239" s="37">
        <f t="shared" si="9"/>
        <v>100</v>
      </c>
      <c r="T239" s="124">
        <f aca="true" t="shared" si="10" ref="T239:T246">$S$238-S239</f>
        <v>150</v>
      </c>
      <c r="U239" s="44" t="s">
        <v>158</v>
      </c>
      <c r="V239" s="44" t="s">
        <v>160</v>
      </c>
      <c r="W239" s="97">
        <f>W238+I241</f>
        <v>24.172514087145675</v>
      </c>
      <c r="X239" s="46">
        <f>T239-W239</f>
        <v>125.82748591285433</v>
      </c>
      <c r="Y239" s="199">
        <f>X239/2.307</f>
        <v>54.541606377483454</v>
      </c>
      <c r="AB239" s="136"/>
    </row>
    <row r="240" spans="2:28" ht="15">
      <c r="B240" s="26"/>
      <c r="C240" s="66"/>
      <c r="D240" s="94"/>
      <c r="E240" s="88"/>
      <c r="F240" s="88"/>
      <c r="G240" s="170"/>
      <c r="H240" s="11" t="s">
        <v>123</v>
      </c>
      <c r="I240" s="11" t="s">
        <v>117</v>
      </c>
      <c r="J240" s="11" t="s">
        <v>118</v>
      </c>
      <c r="K240" s="11"/>
      <c r="L240" s="189" t="s">
        <v>189</v>
      </c>
      <c r="O240" s="186"/>
      <c r="P240" s="126" t="s">
        <v>37</v>
      </c>
      <c r="Q240" s="44">
        <v>1500</v>
      </c>
      <c r="R240" s="44">
        <v>800</v>
      </c>
      <c r="S240" s="37">
        <f t="shared" si="9"/>
        <v>80</v>
      </c>
      <c r="T240" s="124">
        <f t="shared" si="10"/>
        <v>170</v>
      </c>
      <c r="U240" s="44"/>
      <c r="V240" s="44"/>
      <c r="W240" s="124"/>
      <c r="X240" s="44"/>
      <c r="Y240" s="200"/>
      <c r="AB240" s="136"/>
    </row>
    <row r="241" spans="2:28" ht="15">
      <c r="B241" s="26"/>
      <c r="C241" s="66"/>
      <c r="D241" s="43" t="s">
        <v>80</v>
      </c>
      <c r="E241" s="89">
        <f>E207</f>
        <v>8</v>
      </c>
      <c r="F241" s="89">
        <f>F207</f>
        <v>130</v>
      </c>
      <c r="G241" s="171">
        <f>G207</f>
        <v>1500</v>
      </c>
      <c r="H241" s="162">
        <f aca="true" t="shared" si="11" ref="H241:K246">BA207</f>
        <v>769.7822377327097</v>
      </c>
      <c r="I241" s="80">
        <f t="shared" si="11"/>
        <v>16.880670468455456</v>
      </c>
      <c r="J241" s="46">
        <f t="shared" si="11"/>
        <v>0.040568928244725584</v>
      </c>
      <c r="K241" s="97">
        <f t="shared" si="11"/>
        <v>0.0025766415214807143</v>
      </c>
      <c r="L241" s="203">
        <f>I241/G241*1000</f>
        <v>11.253780312303638</v>
      </c>
      <c r="O241" s="186"/>
      <c r="P241" s="126" t="s">
        <v>40</v>
      </c>
      <c r="Q241" s="44">
        <v>1500</v>
      </c>
      <c r="R241" s="44">
        <v>0</v>
      </c>
      <c r="S241" s="37">
        <f t="shared" si="9"/>
        <v>135</v>
      </c>
      <c r="T241" s="124">
        <f t="shared" si="10"/>
        <v>115</v>
      </c>
      <c r="U241" s="44" t="s">
        <v>164</v>
      </c>
      <c r="V241" s="132" t="s">
        <v>165</v>
      </c>
      <c r="W241" s="97">
        <f>W238+I241+I242+I255</f>
        <v>40.61045208785695</v>
      </c>
      <c r="X241" s="46">
        <f>T241-W241</f>
        <v>74.38954791214306</v>
      </c>
      <c r="Y241" s="199">
        <f>X241/2.307</f>
        <v>32.24514430522022</v>
      </c>
      <c r="AB241" s="136"/>
    </row>
    <row r="242" spans="2:28" ht="15">
      <c r="B242" s="26"/>
      <c r="C242" s="66" t="s">
        <v>78</v>
      </c>
      <c r="D242" s="44" t="s">
        <v>81</v>
      </c>
      <c r="E242" s="89">
        <f>E208</f>
        <v>8</v>
      </c>
      <c r="F242" s="89">
        <f>F208</f>
        <v>130</v>
      </c>
      <c r="G242" s="171">
        <f>G208</f>
        <v>400</v>
      </c>
      <c r="H242" s="162">
        <f t="shared" si="11"/>
        <v>717.8291127327097</v>
      </c>
      <c r="I242" s="80">
        <f t="shared" si="11"/>
        <v>3.9556404667000487</v>
      </c>
      <c r="J242" s="46">
        <f t="shared" si="11"/>
        <v>0.010194536183599995</v>
      </c>
      <c r="K242" s="97">
        <f t="shared" si="11"/>
        <v>0.0025766415214807143</v>
      </c>
      <c r="L242" s="203">
        <f>I242/G242*1000</f>
        <v>9.889101166750121</v>
      </c>
      <c r="O242" s="186"/>
      <c r="P242" s="126" t="s">
        <v>39</v>
      </c>
      <c r="Q242" s="44">
        <v>750</v>
      </c>
      <c r="R242" s="44">
        <v>0</v>
      </c>
      <c r="S242" s="37">
        <f t="shared" si="9"/>
        <v>80</v>
      </c>
      <c r="T242" s="124">
        <f t="shared" si="10"/>
        <v>170</v>
      </c>
      <c r="U242" s="44"/>
      <c r="V242" s="44"/>
      <c r="W242" s="124"/>
      <c r="X242" s="44"/>
      <c r="Y242" s="200"/>
      <c r="AB242" s="136"/>
    </row>
    <row r="243" spans="2:28" ht="15">
      <c r="B243" s="26"/>
      <c r="C243" s="66" t="s">
        <v>79</v>
      </c>
      <c r="D243" s="103" t="s">
        <v>82</v>
      </c>
      <c r="E243" s="89">
        <f>E209</f>
        <v>8</v>
      </c>
      <c r="F243" s="89">
        <f>F209</f>
        <v>130</v>
      </c>
      <c r="G243" s="171">
        <f>G209</f>
        <v>750</v>
      </c>
      <c r="H243" s="162">
        <f t="shared" si="11"/>
        <v>-252.61286841008322</v>
      </c>
      <c r="I243" s="80">
        <f t="shared" si="11"/>
        <v>-1.0742904811312537</v>
      </c>
      <c r="J243" s="46">
        <f t="shared" si="11"/>
        <v>0.00786752235783365</v>
      </c>
      <c r="K243" s="97">
        <f t="shared" si="11"/>
        <v>0.0025766415214807143</v>
      </c>
      <c r="L243" s="203">
        <f>I243/G243*1000</f>
        <v>-1.432387308175005</v>
      </c>
      <c r="O243" s="186"/>
      <c r="P243" s="126" t="s">
        <v>38</v>
      </c>
      <c r="Q243" s="44">
        <v>0</v>
      </c>
      <c r="R243" s="44">
        <v>0</v>
      </c>
      <c r="S243" s="37">
        <f t="shared" si="9"/>
        <v>140</v>
      </c>
      <c r="T243" s="124">
        <f t="shared" si="10"/>
        <v>110</v>
      </c>
      <c r="U243" s="44"/>
      <c r="V243" s="44"/>
      <c r="W243" s="124"/>
      <c r="X243" s="44"/>
      <c r="Y243" s="200"/>
      <c r="AB243" s="136"/>
    </row>
    <row r="244" spans="2:28" ht="15">
      <c r="B244" s="26"/>
      <c r="C244" s="66"/>
      <c r="D244" s="106" t="s">
        <v>83</v>
      </c>
      <c r="E244" s="89">
        <f>E210</f>
        <v>8</v>
      </c>
      <c r="F244" s="89">
        <f>F210</f>
        <v>130</v>
      </c>
      <c r="G244" s="171">
        <f>G210</f>
        <v>750</v>
      </c>
      <c r="H244" s="162">
        <f t="shared" si="11"/>
        <v>-703.3545614888831</v>
      </c>
      <c r="I244" s="80">
        <f t="shared" si="11"/>
        <v>-7.1425218572228495</v>
      </c>
      <c r="J244" s="46">
        <f t="shared" si="11"/>
        <v>0.018786635019315392</v>
      </c>
      <c r="K244" s="97">
        <f t="shared" si="11"/>
        <v>0.0025766415214807143</v>
      </c>
      <c r="L244" s="203">
        <f>I244/G244*1000</f>
        <v>-9.523362476297132</v>
      </c>
      <c r="O244" s="186"/>
      <c r="P244" s="126" t="s">
        <v>35</v>
      </c>
      <c r="Q244" s="44">
        <v>0</v>
      </c>
      <c r="R244" s="44">
        <v>800</v>
      </c>
      <c r="S244" s="37">
        <f t="shared" si="9"/>
        <v>80</v>
      </c>
      <c r="T244" s="124">
        <f t="shared" si="10"/>
        <v>170</v>
      </c>
      <c r="U244" s="44"/>
      <c r="V244" s="44"/>
      <c r="W244" s="124"/>
      <c r="X244" s="44"/>
      <c r="Y244" s="200"/>
      <c r="AB244" s="136"/>
    </row>
    <row r="245" spans="2:28" ht="15">
      <c r="B245" s="26"/>
      <c r="C245" s="66"/>
      <c r="D245" s="44" t="s">
        <v>84</v>
      </c>
      <c r="E245" s="89">
        <f>E211</f>
        <v>8</v>
      </c>
      <c r="F245" s="89">
        <f>F211</f>
        <v>130</v>
      </c>
      <c r="G245" s="171">
        <f>G211</f>
        <v>400</v>
      </c>
      <c r="H245" s="162">
        <f t="shared" si="11"/>
        <v>-1343.8896372672896</v>
      </c>
      <c r="I245" s="80">
        <f t="shared" si="11"/>
        <v>-12.619742836584535</v>
      </c>
      <c r="J245" s="46">
        <f t="shared" si="11"/>
        <v>0.017372352312467414</v>
      </c>
      <c r="K245" s="97">
        <f t="shared" si="11"/>
        <v>0.0025766415214807143</v>
      </c>
      <c r="L245" s="203">
        <f>I245/G245*1000</f>
        <v>-31.54935709146134</v>
      </c>
      <c r="O245" s="186"/>
      <c r="P245" s="126" t="s">
        <v>33</v>
      </c>
      <c r="Q245" s="44">
        <v>0</v>
      </c>
      <c r="R245" s="44">
        <v>1200</v>
      </c>
      <c r="S245" s="37">
        <f t="shared" si="9"/>
        <v>120</v>
      </c>
      <c r="T245" s="124">
        <f t="shared" si="10"/>
        <v>130</v>
      </c>
      <c r="U245" s="44"/>
      <c r="V245" s="44"/>
      <c r="W245" s="124"/>
      <c r="X245" s="44"/>
      <c r="Y245" s="200"/>
      <c r="AB245" s="136"/>
    </row>
    <row r="246" spans="2:28" ht="15">
      <c r="B246" s="26"/>
      <c r="C246" s="66"/>
      <c r="D246" s="11"/>
      <c r="E246" s="11"/>
      <c r="F246" s="11"/>
      <c r="G246" s="116"/>
      <c r="H246" s="162" t="str">
        <f t="shared" si="11"/>
        <v>Sum</v>
      </c>
      <c r="I246" s="80">
        <f t="shared" si="11"/>
        <v>-0.0002442397831323717</v>
      </c>
      <c r="J246" s="46">
        <f t="shared" si="11"/>
        <v>0.09478997411794204</v>
      </c>
      <c r="K246" s="97">
        <f t="shared" si="11"/>
        <v>0</v>
      </c>
      <c r="L246" s="190" t="s">
        <v>0</v>
      </c>
      <c r="O246" s="186"/>
      <c r="P246" s="126" t="s">
        <v>36</v>
      </c>
      <c r="Q246" s="44">
        <v>750</v>
      </c>
      <c r="R246" s="44">
        <v>800</v>
      </c>
      <c r="S246" s="37">
        <f t="shared" si="9"/>
        <v>145</v>
      </c>
      <c r="T246" s="124">
        <f t="shared" si="10"/>
        <v>105</v>
      </c>
      <c r="U246" s="44" t="s">
        <v>0</v>
      </c>
      <c r="V246" s="132" t="s">
        <v>0</v>
      </c>
      <c r="W246" s="97"/>
      <c r="X246" s="46"/>
      <c r="Y246" s="121"/>
      <c r="AB246" s="136"/>
    </row>
    <row r="247" spans="2:28" ht="15">
      <c r="B247" s="26"/>
      <c r="C247" s="66"/>
      <c r="D247" s="11"/>
      <c r="E247" s="11"/>
      <c r="F247" s="11"/>
      <c r="G247" s="116"/>
      <c r="H247" s="162"/>
      <c r="I247" s="80"/>
      <c r="J247" s="46"/>
      <c r="K247" s="97"/>
      <c r="L247" s="191"/>
      <c r="O247" s="26"/>
      <c r="P247" s="6"/>
      <c r="Q247" s="6"/>
      <c r="R247" s="6"/>
      <c r="S247" s="6"/>
      <c r="T247" s="6"/>
      <c r="U247" s="6"/>
      <c r="V247" s="11"/>
      <c r="W247" s="6"/>
      <c r="X247" s="6"/>
      <c r="Y247" s="32"/>
      <c r="AB247" s="136"/>
    </row>
    <row r="248" spans="2:28" ht="15">
      <c r="B248" s="26"/>
      <c r="C248" s="26"/>
      <c r="D248" s="106" t="s">
        <v>92</v>
      </c>
      <c r="E248" s="89">
        <f>E214</f>
        <v>8</v>
      </c>
      <c r="F248" s="89">
        <f>F214</f>
        <v>130</v>
      </c>
      <c r="G248" s="171">
        <f>G214</f>
        <v>750</v>
      </c>
      <c r="H248" s="162">
        <f aca="true" t="shared" si="12" ref="H248:K252">BA214</f>
        <v>703.3545614888831</v>
      </c>
      <c r="I248" s="80">
        <f t="shared" si="12"/>
        <v>7.1425218572228495</v>
      </c>
      <c r="J248" s="46">
        <f t="shared" si="12"/>
        <v>0.018786635019315392</v>
      </c>
      <c r="K248" s="97">
        <f t="shared" si="12"/>
        <v>0.0037180092193216845</v>
      </c>
      <c r="L248" s="203">
        <f>I248/G248*1000</f>
        <v>9.523362476297132</v>
      </c>
      <c r="O248" s="26"/>
      <c r="P248" s="11"/>
      <c r="Q248" s="11"/>
      <c r="R248" s="11"/>
      <c r="S248" s="11"/>
      <c r="T248" s="6"/>
      <c r="U248" s="6"/>
      <c r="V248" s="6"/>
      <c r="W248" s="6"/>
      <c r="X248" s="6"/>
      <c r="Y248" s="116"/>
      <c r="AB248" s="136"/>
    </row>
    <row r="249" spans="2:28" ht="15">
      <c r="B249" s="26"/>
      <c r="C249" s="66" t="s">
        <v>78</v>
      </c>
      <c r="D249" s="105" t="s">
        <v>93</v>
      </c>
      <c r="E249" s="89">
        <f>E215</f>
        <v>8</v>
      </c>
      <c r="F249" s="89">
        <f>F215</f>
        <v>130</v>
      </c>
      <c r="G249" s="171">
        <f>G215</f>
        <v>800</v>
      </c>
      <c r="H249" s="162">
        <f t="shared" si="12"/>
        <v>398.7885680787998</v>
      </c>
      <c r="I249" s="80">
        <f t="shared" si="12"/>
        <v>2.6667470684036014</v>
      </c>
      <c r="J249" s="46">
        <f t="shared" si="12"/>
        <v>0.012371172273854694</v>
      </c>
      <c r="K249" s="97">
        <f t="shared" si="12"/>
        <v>0.0037180092193216845</v>
      </c>
      <c r="L249" s="203">
        <f>I249/G249*1000</f>
        <v>3.333433835504502</v>
      </c>
      <c r="O249" s="26"/>
      <c r="P249" s="19" t="s">
        <v>207</v>
      </c>
      <c r="Q249" s="11"/>
      <c r="R249" s="11"/>
      <c r="S249" s="11"/>
      <c r="T249" s="6"/>
      <c r="U249" s="19" t="s">
        <v>181</v>
      </c>
      <c r="V249" s="11"/>
      <c r="W249" s="11"/>
      <c r="X249" s="11"/>
      <c r="Y249" s="116"/>
      <c r="AB249" s="136"/>
    </row>
    <row r="250" spans="2:28" ht="15.75" thickBot="1">
      <c r="B250" s="26"/>
      <c r="C250" s="66" t="s">
        <v>91</v>
      </c>
      <c r="D250" s="44" t="s">
        <v>94</v>
      </c>
      <c r="E250" s="89">
        <f>E216</f>
        <v>8</v>
      </c>
      <c r="F250" s="89">
        <f>F216</f>
        <v>130</v>
      </c>
      <c r="G250" s="171">
        <f>G216</f>
        <v>750</v>
      </c>
      <c r="H250" s="162">
        <f t="shared" si="12"/>
        <v>-536.6288257784072</v>
      </c>
      <c r="I250" s="80">
        <f t="shared" si="12"/>
        <v>-4.32988142635881</v>
      </c>
      <c r="J250" s="46">
        <f t="shared" si="12"/>
        <v>0.01492704128807185</v>
      </c>
      <c r="K250" s="97">
        <f t="shared" si="12"/>
        <v>0.0037180092193216845</v>
      </c>
      <c r="L250" s="203">
        <f>I250/G250*1000</f>
        <v>-5.77317523514508</v>
      </c>
      <c r="O250" s="29"/>
      <c r="P250" s="68"/>
      <c r="Q250" s="68"/>
      <c r="R250" s="68"/>
      <c r="S250" s="68"/>
      <c r="T250" s="30"/>
      <c r="U250" s="195" t="s">
        <v>182</v>
      </c>
      <c r="V250" s="68"/>
      <c r="W250" s="68"/>
      <c r="X250" s="68"/>
      <c r="Y250" s="173"/>
      <c r="AB250" s="136"/>
    </row>
    <row r="251" spans="2:28" ht="15.75" thickTop="1">
      <c r="B251" s="26"/>
      <c r="C251" s="66"/>
      <c r="D251" s="44" t="s">
        <v>95</v>
      </c>
      <c r="E251" s="89">
        <f>E217</f>
        <v>8</v>
      </c>
      <c r="F251" s="89">
        <f>F217</f>
        <v>130</v>
      </c>
      <c r="G251" s="171">
        <f>G217</f>
        <v>800</v>
      </c>
      <c r="H251" s="162">
        <f t="shared" si="12"/>
        <v>-588.5819507784072</v>
      </c>
      <c r="I251" s="80">
        <f t="shared" si="12"/>
        <v>-5.4796228794138955</v>
      </c>
      <c r="J251" s="46">
        <f t="shared" si="12"/>
        <v>0.017223264005138104</v>
      </c>
      <c r="K251" s="97">
        <f t="shared" si="12"/>
        <v>0.0037180092193216845</v>
      </c>
      <c r="L251" s="203">
        <f>I251/G251*1000</f>
        <v>-6.849528599267369</v>
      </c>
      <c r="AB251" s="136"/>
    </row>
    <row r="252" spans="2:28" ht="15">
      <c r="B252" s="26"/>
      <c r="C252" s="66"/>
      <c r="D252" s="11"/>
      <c r="E252" s="11"/>
      <c r="F252" s="11"/>
      <c r="G252" s="116"/>
      <c r="H252" s="162" t="str">
        <f t="shared" si="12"/>
        <v>Sum</v>
      </c>
      <c r="I252" s="80">
        <f t="shared" si="12"/>
        <v>-0.00023538014625401615</v>
      </c>
      <c r="J252" s="46">
        <f t="shared" si="12"/>
        <v>0.06330811258638004</v>
      </c>
      <c r="K252" s="97">
        <f t="shared" si="12"/>
        <v>0</v>
      </c>
      <c r="L252" s="191"/>
      <c r="AB252" s="136"/>
    </row>
    <row r="253" spans="2:28" ht="15">
      <c r="B253" s="26"/>
      <c r="C253" s="66"/>
      <c r="D253" s="11"/>
      <c r="E253" s="11"/>
      <c r="F253" s="11"/>
      <c r="G253" s="116"/>
      <c r="H253" s="162"/>
      <c r="I253" s="80"/>
      <c r="J253" s="46"/>
      <c r="K253" s="97"/>
      <c r="L253" s="191"/>
      <c r="AB253" s="136"/>
    </row>
    <row r="254" spans="2:28" ht="15">
      <c r="B254" s="26"/>
      <c r="C254" s="66"/>
      <c r="D254" s="103" t="s">
        <v>97</v>
      </c>
      <c r="E254" s="89">
        <f>E220</f>
        <v>8</v>
      </c>
      <c r="F254" s="89">
        <f>F220</f>
        <v>130</v>
      </c>
      <c r="G254" s="171">
        <f>G220</f>
        <v>750</v>
      </c>
      <c r="H254" s="162">
        <f aca="true" t="shared" si="13" ref="H254:K258">BA220</f>
        <v>252.61286841008314</v>
      </c>
      <c r="I254" s="80">
        <f t="shared" si="13"/>
        <v>1.0742904811312537</v>
      </c>
      <c r="J254" s="46">
        <f t="shared" si="13"/>
        <v>0.007867522357833652</v>
      </c>
      <c r="K254" s="97">
        <f t="shared" si="13"/>
        <v>0.002648350779618163</v>
      </c>
      <c r="L254" s="203">
        <f>I254/G254*1000</f>
        <v>1.432387308175005</v>
      </c>
      <c r="AB254" s="136"/>
    </row>
    <row r="255" spans="2:28" ht="15">
      <c r="B255" s="26"/>
      <c r="C255" s="66" t="s">
        <v>78</v>
      </c>
      <c r="D255" s="44" t="s">
        <v>98</v>
      </c>
      <c r="E255" s="89">
        <f>E221</f>
        <v>8</v>
      </c>
      <c r="F255" s="89">
        <f>F221</f>
        <v>130</v>
      </c>
      <c r="G255" s="171">
        <f>G221</f>
        <v>800</v>
      </c>
      <c r="H255" s="162">
        <f t="shared" si="13"/>
        <v>918.4888561427931</v>
      </c>
      <c r="I255" s="80">
        <f t="shared" si="13"/>
        <v>12.482297534011222</v>
      </c>
      <c r="J255" s="46">
        <f t="shared" si="13"/>
        <v>0.025141568439814275</v>
      </c>
      <c r="K255" s="97">
        <f t="shared" si="13"/>
        <v>0.002648350779618163</v>
      </c>
      <c r="L255" s="203">
        <f>I255/G255*1000</f>
        <v>15.602871917514028</v>
      </c>
      <c r="AB255" s="136"/>
    </row>
    <row r="256" spans="2:28" ht="15">
      <c r="B256" s="26"/>
      <c r="C256" s="66" t="s">
        <v>96</v>
      </c>
      <c r="D256" s="44" t="s">
        <v>99</v>
      </c>
      <c r="E256" s="89">
        <f>E222</f>
        <v>8</v>
      </c>
      <c r="F256" s="89">
        <f>F222</f>
        <v>130</v>
      </c>
      <c r="G256" s="171">
        <f>G222</f>
        <v>750</v>
      </c>
      <c r="H256" s="162">
        <f t="shared" si="13"/>
        <v>-883.4642688572069</v>
      </c>
      <c r="I256" s="80">
        <f t="shared" si="13"/>
        <v>-10.890021522646979</v>
      </c>
      <c r="J256" s="46">
        <f t="shared" si="13"/>
        <v>0.022804023351116615</v>
      </c>
      <c r="K256" s="97">
        <f t="shared" si="13"/>
        <v>0.002648350779618163</v>
      </c>
      <c r="L256" s="203">
        <f>I256/G256*1000</f>
        <v>-14.520028696862639</v>
      </c>
      <c r="M256" s="6"/>
      <c r="N256" s="11"/>
      <c r="O256" s="11"/>
      <c r="P256" s="11"/>
      <c r="Q256" s="11"/>
      <c r="R256" s="11"/>
      <c r="S256" s="11"/>
      <c r="T256" s="11"/>
      <c r="U256" s="11"/>
      <c r="AB256" s="136"/>
    </row>
    <row r="257" spans="2:28" ht="15">
      <c r="B257" s="26"/>
      <c r="C257" s="66"/>
      <c r="D257" s="105" t="s">
        <v>100</v>
      </c>
      <c r="E257" s="89">
        <f>E223</f>
        <v>8</v>
      </c>
      <c r="F257" s="89">
        <f>F223</f>
        <v>130</v>
      </c>
      <c r="G257" s="171">
        <f>G223</f>
        <v>800</v>
      </c>
      <c r="H257" s="162">
        <f t="shared" si="13"/>
        <v>-398.7885680787998</v>
      </c>
      <c r="I257" s="80">
        <f t="shared" si="13"/>
        <v>-2.6667470684036014</v>
      </c>
      <c r="J257" s="46">
        <f t="shared" si="13"/>
        <v>0.012371172273854694</v>
      </c>
      <c r="K257" s="97">
        <f t="shared" si="13"/>
        <v>0.002648350779618163</v>
      </c>
      <c r="L257" s="203">
        <f>I257/G257*1000</f>
        <v>-3.333433835504502</v>
      </c>
      <c r="M257" s="6"/>
      <c r="N257" s="11"/>
      <c r="O257" s="11"/>
      <c r="P257" s="11"/>
      <c r="Q257" s="11"/>
      <c r="R257" s="11"/>
      <c r="S257" s="11"/>
      <c r="T257" s="11"/>
      <c r="U257" s="11"/>
      <c r="AB257" s="136"/>
    </row>
    <row r="258" spans="2:28" ht="15.75" thickBot="1">
      <c r="B258" s="26"/>
      <c r="C258" s="67"/>
      <c r="D258" s="68"/>
      <c r="E258" s="68"/>
      <c r="F258" s="68"/>
      <c r="G258" s="173"/>
      <c r="H258" s="172" t="str">
        <f t="shared" si="13"/>
        <v>Sum</v>
      </c>
      <c r="I258" s="184">
        <f t="shared" si="13"/>
        <v>-0.00018057590810505175</v>
      </c>
      <c r="J258" s="169">
        <f t="shared" si="13"/>
        <v>0.06818428642261923</v>
      </c>
      <c r="K258" s="185">
        <f t="shared" si="13"/>
        <v>0</v>
      </c>
      <c r="L258" s="192"/>
      <c r="M258" s="6"/>
      <c r="N258" s="6"/>
      <c r="O258" s="6"/>
      <c r="P258" s="6"/>
      <c r="Q258" s="6"/>
      <c r="R258" s="6"/>
      <c r="S258" s="6"/>
      <c r="T258" s="6"/>
      <c r="U258" s="6"/>
      <c r="AB258" s="136"/>
    </row>
    <row r="259" spans="2:28" ht="15.75" thickTop="1">
      <c r="B259" s="2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AB259" s="136"/>
    </row>
    <row r="260" spans="2:28" ht="15"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AB260" s="136"/>
    </row>
    <row r="261" spans="2:28" ht="15"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AB261" s="136"/>
    </row>
    <row r="262" spans="2:28" ht="15"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AB262" s="136"/>
    </row>
    <row r="263" spans="2:28" ht="15.75" thickBot="1"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137"/>
    </row>
    <row r="264" ht="15.75" thickTop="1"/>
    <row r="265" ht="15.75" thickBot="1"/>
    <row r="266" spans="2:28" ht="15.75" thickTop="1">
      <c r="B266" s="27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135">
        <v>8</v>
      </c>
    </row>
    <row r="267" spans="2:29" ht="15">
      <c r="B267" s="26"/>
      <c r="C267" s="6" t="s">
        <v>132</v>
      </c>
      <c r="D267" s="6"/>
      <c r="E267" s="6"/>
      <c r="F267" s="6"/>
      <c r="G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11"/>
      <c r="Y267" s="11"/>
      <c r="Z267" s="11"/>
      <c r="AA267" s="11"/>
      <c r="AB267" s="32"/>
      <c r="AC267" s="134"/>
    </row>
    <row r="268" spans="2:29" ht="15">
      <c r="B268" s="26"/>
      <c r="C268" s="6"/>
      <c r="D268" s="6"/>
      <c r="E268" s="6"/>
      <c r="F268" s="6"/>
      <c r="G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32"/>
      <c r="AC268" s="134"/>
    </row>
    <row r="269" spans="2:28" ht="15"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V269" s="6" t="s">
        <v>168</v>
      </c>
      <c r="W269" s="6">
        <v>0.133681</v>
      </c>
      <c r="X269" s="6" t="s">
        <v>169</v>
      </c>
      <c r="Y269" s="6"/>
      <c r="Z269" s="6"/>
      <c r="AA269" s="6"/>
      <c r="AB269" s="136"/>
    </row>
    <row r="270" spans="2:28" ht="15">
      <c r="B270" s="26"/>
      <c r="C270" s="211" t="s">
        <v>204</v>
      </c>
      <c r="D270" s="6"/>
      <c r="E270" s="6"/>
      <c r="F270" s="6"/>
      <c r="G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 t="s">
        <v>186</v>
      </c>
      <c r="W270" s="6">
        <f>W269</f>
        <v>0.133681</v>
      </c>
      <c r="X270" s="6" t="s">
        <v>187</v>
      </c>
      <c r="Y270" s="6"/>
      <c r="Z270" s="6"/>
      <c r="AA270" s="6"/>
      <c r="AB270" s="136"/>
    </row>
    <row r="271" spans="2:28" ht="15">
      <c r="B271" s="26"/>
      <c r="C271" s="6" t="s">
        <v>205</v>
      </c>
      <c r="D271" s="1"/>
      <c r="E271" s="11"/>
      <c r="F271" s="1"/>
      <c r="G271" s="1"/>
      <c r="H271" s="49"/>
      <c r="I271" s="1"/>
      <c r="J271" s="1"/>
      <c r="K271" s="1"/>
      <c r="L271" s="6"/>
      <c r="M271" s="6"/>
      <c r="N271" s="6"/>
      <c r="O271" s="6"/>
      <c r="P271" s="6"/>
      <c r="Q271" s="6"/>
      <c r="R271" s="6"/>
      <c r="S271" s="6"/>
      <c r="T271" s="6"/>
      <c r="V271" s="6" t="s">
        <v>186</v>
      </c>
      <c r="W271">
        <f>W270/60</f>
        <v>0.0022280166666666665</v>
      </c>
      <c r="X271" t="s">
        <v>188</v>
      </c>
      <c r="AA271" s="6"/>
      <c r="AB271" s="136"/>
    </row>
    <row r="272" spans="2:28" ht="15">
      <c r="B272" s="26"/>
      <c r="C272" s="35" t="s">
        <v>137</v>
      </c>
      <c r="D272" s="42" t="s">
        <v>138</v>
      </c>
      <c r="E272" s="42" t="s">
        <v>41</v>
      </c>
      <c r="F272" s="42" t="s">
        <v>140</v>
      </c>
      <c r="G272" s="42" t="s">
        <v>42</v>
      </c>
      <c r="H272" s="35" t="s">
        <v>142</v>
      </c>
      <c r="I272" s="125" t="s">
        <v>142</v>
      </c>
      <c r="J272" s="39" t="s">
        <v>143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AA272" s="6"/>
      <c r="AB272" s="136"/>
    </row>
    <row r="273" spans="2:28" ht="17.25">
      <c r="B273" s="26"/>
      <c r="C273" s="37"/>
      <c r="D273" s="43" t="s">
        <v>139</v>
      </c>
      <c r="E273" s="43" t="s">
        <v>2</v>
      </c>
      <c r="F273" s="43" t="s">
        <v>1</v>
      </c>
      <c r="G273" s="43" t="s">
        <v>141</v>
      </c>
      <c r="H273" s="37" t="s">
        <v>32</v>
      </c>
      <c r="I273" s="122" t="s">
        <v>184</v>
      </c>
      <c r="J273" s="40" t="s">
        <v>144</v>
      </c>
      <c r="L273" s="6"/>
      <c r="M273" s="6"/>
      <c r="N273" s="6"/>
      <c r="O273" s="6"/>
      <c r="P273" s="6"/>
      <c r="Q273" s="6"/>
      <c r="R273" s="6"/>
      <c r="S273" s="6"/>
      <c r="T273" s="6"/>
      <c r="X273" s="183"/>
      <c r="Y273" s="183"/>
      <c r="AA273" s="6"/>
      <c r="AB273" s="136"/>
    </row>
    <row r="274" spans="2:28" ht="15">
      <c r="B274" s="26"/>
      <c r="C274" s="43" t="s">
        <v>101</v>
      </c>
      <c r="D274" s="43">
        <f>J145</f>
        <v>8</v>
      </c>
      <c r="E274" s="43">
        <f>K145</f>
        <v>130</v>
      </c>
      <c r="F274" s="43">
        <f>L145</f>
        <v>100</v>
      </c>
      <c r="G274" s="82">
        <f aca="true" t="shared" si="14" ref="G274:G284">(PI()/4)*(D274/12)^2</f>
        <v>0.3490658503988659</v>
      </c>
      <c r="H274" s="85">
        <f>I236</f>
        <v>2113.671875</v>
      </c>
      <c r="I274" s="86">
        <f>H274*0.133681/60</f>
        <v>4.709296165364583</v>
      </c>
      <c r="J274" s="241">
        <f>I274/G274</f>
        <v>13.49113973762666</v>
      </c>
      <c r="L274" s="6"/>
      <c r="M274" s="6"/>
      <c r="N274" s="6"/>
      <c r="O274" s="6"/>
      <c r="P274" s="6"/>
      <c r="Q274" s="6"/>
      <c r="R274" s="6"/>
      <c r="S274" s="6"/>
      <c r="T274" s="6"/>
      <c r="X274" s="183"/>
      <c r="Y274" s="183"/>
      <c r="AA274" s="6"/>
      <c r="AB274" s="136"/>
    </row>
    <row r="275" spans="2:28" ht="15">
      <c r="B275" s="26"/>
      <c r="C275" s="44" t="s">
        <v>147</v>
      </c>
      <c r="D275" s="44">
        <f aca="true" t="shared" si="15" ref="D275:F276">J129</f>
        <v>8</v>
      </c>
      <c r="E275" s="44">
        <f t="shared" si="15"/>
        <v>130</v>
      </c>
      <c r="F275" s="44">
        <f t="shared" si="15"/>
        <v>1500</v>
      </c>
      <c r="G275" s="82">
        <f t="shared" si="14"/>
        <v>0.3490658503988659</v>
      </c>
      <c r="H275" s="97">
        <f>H241</f>
        <v>769.7822377327097</v>
      </c>
      <c r="I275" s="86">
        <f aca="true" t="shared" si="16" ref="I275:I284">H275*$W$269/60</f>
        <v>1.7150876553724395</v>
      </c>
      <c r="J275" s="241">
        <f aca="true" t="shared" si="17" ref="J275:J284">I275/G275</f>
        <v>4.913364207391431</v>
      </c>
      <c r="L275" s="6"/>
      <c r="M275" s="6"/>
      <c r="N275" s="6"/>
      <c r="O275" s="6"/>
      <c r="P275" s="6"/>
      <c r="Q275" s="6"/>
      <c r="R275" s="6"/>
      <c r="S275" s="6"/>
      <c r="T275" s="6"/>
      <c r="X275" s="183"/>
      <c r="Y275" s="183"/>
      <c r="AA275" s="6"/>
      <c r="AB275" s="136"/>
    </row>
    <row r="276" spans="2:28" ht="15">
      <c r="B276" s="26"/>
      <c r="C276" s="44" t="s">
        <v>148</v>
      </c>
      <c r="D276" s="44">
        <f t="shared" si="15"/>
        <v>8</v>
      </c>
      <c r="E276" s="44">
        <f t="shared" si="15"/>
        <v>130</v>
      </c>
      <c r="F276" s="44">
        <f t="shared" si="15"/>
        <v>400</v>
      </c>
      <c r="G276" s="82">
        <f t="shared" si="14"/>
        <v>0.3490658503988659</v>
      </c>
      <c r="H276" s="97">
        <f>H242</f>
        <v>717.8291127327097</v>
      </c>
      <c r="I276" s="86">
        <f t="shared" si="16"/>
        <v>1.599335226987023</v>
      </c>
      <c r="J276" s="241">
        <f t="shared" si="17"/>
        <v>4.581757926647697</v>
      </c>
      <c r="L276" s="6"/>
      <c r="M276" s="6"/>
      <c r="N276" s="6"/>
      <c r="O276" s="6"/>
      <c r="P276" s="6"/>
      <c r="Q276" s="6"/>
      <c r="R276" s="6"/>
      <c r="S276" s="6"/>
      <c r="T276" s="6"/>
      <c r="X276" s="183"/>
      <c r="Y276" s="183"/>
      <c r="AA276" s="6"/>
      <c r="AB276" s="136"/>
    </row>
    <row r="277" spans="2:28" ht="15">
      <c r="B277" s="26"/>
      <c r="C277" s="44" t="s">
        <v>149</v>
      </c>
      <c r="D277" s="44">
        <f aca="true" t="shared" si="18" ref="D277:F278">J141</f>
        <v>8</v>
      </c>
      <c r="E277" s="44">
        <f t="shared" si="18"/>
        <v>130</v>
      </c>
      <c r="F277" s="44">
        <f t="shared" si="18"/>
        <v>800</v>
      </c>
      <c r="G277" s="82">
        <f t="shared" si="14"/>
        <v>0.3490658503988659</v>
      </c>
      <c r="H277" s="97">
        <f>H255</f>
        <v>918.4888561427931</v>
      </c>
      <c r="I277" s="86">
        <f t="shared" si="16"/>
        <v>2.046408479633745</v>
      </c>
      <c r="J277" s="241">
        <f t="shared" si="17"/>
        <v>5.862528452139854</v>
      </c>
      <c r="L277" s="6"/>
      <c r="M277" s="6"/>
      <c r="N277" s="6"/>
      <c r="O277" s="6"/>
      <c r="P277" s="6"/>
      <c r="Q277" s="6"/>
      <c r="R277" s="6"/>
      <c r="S277" s="6"/>
      <c r="T277" s="6"/>
      <c r="X277" s="183"/>
      <c r="Y277" s="183"/>
      <c r="AA277" s="6"/>
      <c r="AB277" s="136"/>
    </row>
    <row r="278" spans="2:28" ht="15">
      <c r="B278" s="26"/>
      <c r="C278" s="44" t="s">
        <v>150</v>
      </c>
      <c r="D278" s="44">
        <f t="shared" si="18"/>
        <v>8</v>
      </c>
      <c r="E278" s="44">
        <f t="shared" si="18"/>
        <v>130</v>
      </c>
      <c r="F278" s="44">
        <f t="shared" si="18"/>
        <v>750</v>
      </c>
      <c r="G278" s="82">
        <f t="shared" si="14"/>
        <v>0.3490658503988659</v>
      </c>
      <c r="H278" s="97">
        <f>H256</f>
        <v>-883.4642688572069</v>
      </c>
      <c r="I278" s="86">
        <f t="shared" si="16"/>
        <v>-1.9683731154183377</v>
      </c>
      <c r="J278" s="241">
        <f t="shared" si="17"/>
        <v>-5.638973601024401</v>
      </c>
      <c r="L278" s="6"/>
      <c r="M278" s="6"/>
      <c r="N278" s="6"/>
      <c r="O278" s="6"/>
      <c r="P278" s="6"/>
      <c r="Q278" s="6"/>
      <c r="R278" s="6"/>
      <c r="S278" s="6"/>
      <c r="T278" s="6"/>
      <c r="X278" s="183"/>
      <c r="Y278" s="183"/>
      <c r="AA278" s="6"/>
      <c r="AB278" s="136"/>
    </row>
    <row r="279" spans="2:28" ht="15">
      <c r="B279" s="26"/>
      <c r="C279" s="44" t="s">
        <v>151</v>
      </c>
      <c r="D279" s="44">
        <f aca="true" t="shared" si="19" ref="D279:F280">J137</f>
        <v>8</v>
      </c>
      <c r="E279" s="44">
        <f t="shared" si="19"/>
        <v>130</v>
      </c>
      <c r="F279" s="44">
        <f t="shared" si="19"/>
        <v>750</v>
      </c>
      <c r="G279" s="82">
        <f t="shared" si="14"/>
        <v>0.3490658503988659</v>
      </c>
      <c r="H279" s="97">
        <f>H250</f>
        <v>-536.6288257784072</v>
      </c>
      <c r="I279" s="86">
        <f t="shared" si="16"/>
        <v>-1.195617967648054</v>
      </c>
      <c r="J279" s="241">
        <f t="shared" si="17"/>
        <v>-3.425193172812125</v>
      </c>
      <c r="L279" s="6"/>
      <c r="M279" s="6"/>
      <c r="N279" s="6"/>
      <c r="O279" s="6"/>
      <c r="P279" s="6"/>
      <c r="Q279" s="6"/>
      <c r="R279" s="6"/>
      <c r="S279" s="6"/>
      <c r="T279" s="6"/>
      <c r="X279" s="183"/>
      <c r="Y279" s="183"/>
      <c r="AA279" s="6"/>
      <c r="AB279" s="136"/>
    </row>
    <row r="280" spans="2:28" ht="15">
      <c r="B280" s="26"/>
      <c r="C280" s="44" t="s">
        <v>152</v>
      </c>
      <c r="D280" s="44">
        <f t="shared" si="19"/>
        <v>8</v>
      </c>
      <c r="E280" s="44">
        <f t="shared" si="19"/>
        <v>130</v>
      </c>
      <c r="F280" s="44">
        <f t="shared" si="19"/>
        <v>800</v>
      </c>
      <c r="G280" s="82">
        <f t="shared" si="14"/>
        <v>0.3490658503988659</v>
      </c>
      <c r="H280" s="97">
        <f>H251</f>
        <v>-588.5819507784072</v>
      </c>
      <c r="I280" s="86">
        <f t="shared" si="16"/>
        <v>-1.3113703960334708</v>
      </c>
      <c r="J280" s="241">
        <f t="shared" si="17"/>
        <v>-3.7567994535558595</v>
      </c>
      <c r="L280" s="6"/>
      <c r="M280" s="6"/>
      <c r="N280" s="6"/>
      <c r="O280" s="6"/>
      <c r="P280" s="6"/>
      <c r="Q280" s="6"/>
      <c r="R280" s="6"/>
      <c r="S280" s="6"/>
      <c r="T280" s="6"/>
      <c r="W280" s="6"/>
      <c r="AA280" s="6"/>
      <c r="AB280" s="136"/>
    </row>
    <row r="281" spans="2:28" ht="15">
      <c r="B281" s="26"/>
      <c r="C281" s="44" t="s">
        <v>153</v>
      </c>
      <c r="D281" s="44">
        <f>J133</f>
        <v>8</v>
      </c>
      <c r="E281" s="44">
        <f>K133</f>
        <v>130</v>
      </c>
      <c r="F281" s="44">
        <f>L133</f>
        <v>400</v>
      </c>
      <c r="G281" s="82">
        <f t="shared" si="14"/>
        <v>0.3490658503988659</v>
      </c>
      <c r="H281" s="97">
        <f>H245</f>
        <v>-1343.8896372672896</v>
      </c>
      <c r="I281" s="86">
        <f t="shared" si="16"/>
        <v>-2.9942085099921423</v>
      </c>
      <c r="J281" s="241">
        <f t="shared" si="17"/>
        <v>-8.577775530235227</v>
      </c>
      <c r="L281" s="6"/>
      <c r="M281" s="6"/>
      <c r="N281" s="6"/>
      <c r="O281" s="6"/>
      <c r="P281" s="6"/>
      <c r="Q281" s="6"/>
      <c r="R281" s="6"/>
      <c r="S281" s="6"/>
      <c r="T281" s="6"/>
      <c r="W281" s="6"/>
      <c r="AA281" s="6"/>
      <c r="AB281" s="136"/>
    </row>
    <row r="282" spans="2:28" ht="15">
      <c r="B282" s="26"/>
      <c r="C282" s="44" t="s">
        <v>244</v>
      </c>
      <c r="D282" s="44">
        <f>J132</f>
        <v>8</v>
      </c>
      <c r="E282" s="44">
        <f>K132</f>
        <v>130</v>
      </c>
      <c r="F282" s="44">
        <f>L132</f>
        <v>750</v>
      </c>
      <c r="G282" s="82">
        <f t="shared" si="14"/>
        <v>0.3490658503988659</v>
      </c>
      <c r="H282" s="97">
        <f>H248</f>
        <v>703.3545614888831</v>
      </c>
      <c r="I282" s="86">
        <f t="shared" si="16"/>
        <v>1.5670856855732562</v>
      </c>
      <c r="J282" s="241">
        <f t="shared" si="17"/>
        <v>4.489369795935637</v>
      </c>
      <c r="L282" s="6"/>
      <c r="M282" s="6"/>
      <c r="N282" s="6"/>
      <c r="O282" s="6"/>
      <c r="P282" s="6"/>
      <c r="Q282" s="6"/>
      <c r="R282" s="6"/>
      <c r="S282" s="6"/>
      <c r="T282" s="6"/>
      <c r="W282" s="6"/>
      <c r="AA282" s="6"/>
      <c r="AB282" s="136"/>
    </row>
    <row r="283" spans="2:28" ht="15">
      <c r="B283" s="26"/>
      <c r="C283" s="44" t="s">
        <v>245</v>
      </c>
      <c r="D283" s="44">
        <f>J131</f>
        <v>8</v>
      </c>
      <c r="E283" s="44">
        <f>K131</f>
        <v>130</v>
      </c>
      <c r="F283" s="44">
        <f>L131</f>
        <v>750</v>
      </c>
      <c r="G283" s="82">
        <f t="shared" si="14"/>
        <v>0.3490658503988659</v>
      </c>
      <c r="H283" s="97">
        <f>H254</f>
        <v>252.61286841008314</v>
      </c>
      <c r="I283" s="86">
        <f t="shared" si="16"/>
        <v>0.5628256810321387</v>
      </c>
      <c r="J283" s="241">
        <f t="shared" si="17"/>
        <v>1.612376806235891</v>
      </c>
      <c r="L283" s="6"/>
      <c r="M283" s="6"/>
      <c r="N283" s="6"/>
      <c r="O283" s="6"/>
      <c r="P283" s="6"/>
      <c r="Q283" s="6"/>
      <c r="R283" s="6"/>
      <c r="S283" s="6"/>
      <c r="T283" s="6"/>
      <c r="W283" s="6"/>
      <c r="AA283" s="6"/>
      <c r="AB283" s="136"/>
    </row>
    <row r="284" spans="2:28" ht="15">
      <c r="B284" s="26"/>
      <c r="C284" s="44" t="s">
        <v>246</v>
      </c>
      <c r="D284" s="44">
        <f>J143</f>
        <v>8</v>
      </c>
      <c r="E284" s="44">
        <f>K143</f>
        <v>130</v>
      </c>
      <c r="F284" s="44">
        <f>L143</f>
        <v>800</v>
      </c>
      <c r="G284" s="82">
        <f t="shared" si="14"/>
        <v>0.3490658503988659</v>
      </c>
      <c r="H284" s="97">
        <f>H249</f>
        <v>398.7885680787998</v>
      </c>
      <c r="I284" s="86">
        <f t="shared" si="16"/>
        <v>0.8885075761557005</v>
      </c>
      <c r="J284" s="241">
        <f t="shared" si="17"/>
        <v>2.545386708956011</v>
      </c>
      <c r="L284" s="6"/>
      <c r="M284" s="6"/>
      <c r="N284" s="6"/>
      <c r="O284" s="6"/>
      <c r="P284" s="6"/>
      <c r="Q284" s="6"/>
      <c r="R284" s="6"/>
      <c r="S284" s="6"/>
      <c r="T284" s="6"/>
      <c r="W284" s="6"/>
      <c r="AA284" s="6"/>
      <c r="AB284" s="136"/>
    </row>
    <row r="285" spans="2:28" ht="15"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O285" s="6"/>
      <c r="P285" s="6"/>
      <c r="Q285" s="6"/>
      <c r="W285" s="6"/>
      <c r="AA285" s="6"/>
      <c r="AB285" s="136"/>
    </row>
    <row r="286" spans="2:28" ht="15"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O286" s="6"/>
      <c r="P286" s="6"/>
      <c r="Q286" s="6"/>
      <c r="W286" s="6"/>
      <c r="AA286" s="6"/>
      <c r="AB286" s="136"/>
    </row>
    <row r="287" spans="2:28" ht="15"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O287" s="6"/>
      <c r="P287" s="6"/>
      <c r="Q287" s="6"/>
      <c r="W287" s="6"/>
      <c r="X287" s="6"/>
      <c r="Y287" s="6"/>
      <c r="Z287" s="6"/>
      <c r="AA287" s="6"/>
      <c r="AB287" s="136"/>
    </row>
    <row r="288" spans="2:29" ht="15"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O288" s="6"/>
      <c r="P288" s="6"/>
      <c r="Q288" s="6"/>
      <c r="W288" s="6"/>
      <c r="X288" s="6"/>
      <c r="Y288" s="6"/>
      <c r="Z288" s="6"/>
      <c r="AA288" s="6"/>
      <c r="AB288" s="32"/>
      <c r="AC288" s="134"/>
    </row>
    <row r="289" spans="2:29" ht="15"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O289" s="6"/>
      <c r="P289" s="6"/>
      <c r="Q289" s="6"/>
      <c r="W289" s="6"/>
      <c r="X289" s="6"/>
      <c r="Y289" s="6"/>
      <c r="Z289" s="6"/>
      <c r="AA289" s="6"/>
      <c r="AB289" s="32"/>
      <c r="AC289" s="134"/>
    </row>
    <row r="290" spans="2:29" ht="15"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O290" s="6"/>
      <c r="P290" s="6"/>
      <c r="Q290" s="6"/>
      <c r="W290" s="6"/>
      <c r="X290" s="6"/>
      <c r="Y290" s="6"/>
      <c r="Z290" s="6"/>
      <c r="AA290" s="6"/>
      <c r="AB290" s="32"/>
      <c r="AC290" s="134"/>
    </row>
    <row r="291" spans="2:29" ht="15"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O291" s="6"/>
      <c r="P291" s="6"/>
      <c r="Q291" s="6"/>
      <c r="W291" s="6"/>
      <c r="X291" s="6"/>
      <c r="Y291" s="6"/>
      <c r="Z291" s="6"/>
      <c r="AA291" s="6"/>
      <c r="AB291" s="32"/>
      <c r="AC291" s="134"/>
    </row>
    <row r="292" spans="2:29" ht="15"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O292" s="6"/>
      <c r="P292" s="6"/>
      <c r="Q292" s="6"/>
      <c r="V292" s="6"/>
      <c r="W292" s="6"/>
      <c r="X292" s="6"/>
      <c r="Y292" s="6"/>
      <c r="Z292" s="6"/>
      <c r="AA292" s="6"/>
      <c r="AB292" s="32"/>
      <c r="AC292" s="134"/>
    </row>
    <row r="293" spans="2:29" ht="15"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O293" s="6"/>
      <c r="P293" s="6"/>
      <c r="Q293" s="6"/>
      <c r="V293" s="6"/>
      <c r="W293" s="6"/>
      <c r="X293" s="6"/>
      <c r="Y293" s="6"/>
      <c r="Z293" s="6"/>
      <c r="AA293" s="6"/>
      <c r="AB293" s="32"/>
      <c r="AC293" s="134"/>
    </row>
    <row r="294" spans="2:29" ht="15"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V294" s="6"/>
      <c r="W294" s="6"/>
      <c r="X294" s="6"/>
      <c r="Y294" s="6"/>
      <c r="Z294" s="6"/>
      <c r="AA294" s="6"/>
      <c r="AB294" s="32"/>
      <c r="AC294" s="134"/>
    </row>
    <row r="295" spans="2:29" ht="15"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V295" s="6"/>
      <c r="W295" s="6"/>
      <c r="X295" s="6"/>
      <c r="Y295" s="6"/>
      <c r="Z295" s="6"/>
      <c r="AA295" s="6"/>
      <c r="AB295" s="32"/>
      <c r="AC295" s="134"/>
    </row>
    <row r="296" spans="2:29" ht="15"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V296" s="6"/>
      <c r="W296" s="6"/>
      <c r="X296" s="6"/>
      <c r="Y296" s="6"/>
      <c r="Z296" s="6"/>
      <c r="AA296" s="6"/>
      <c r="AB296" s="32"/>
      <c r="AC296" s="134"/>
    </row>
    <row r="297" spans="2:29" ht="15"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V297" s="6"/>
      <c r="W297" s="6"/>
      <c r="X297" s="6"/>
      <c r="Y297" s="6"/>
      <c r="Z297" s="6"/>
      <c r="AA297" s="6"/>
      <c r="AB297" s="32"/>
      <c r="AC297" s="134"/>
    </row>
    <row r="298" spans="2:29" ht="15"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32"/>
      <c r="AC298" s="134"/>
    </row>
    <row r="299" spans="2:29" ht="15"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32"/>
      <c r="AC299" s="134"/>
    </row>
    <row r="300" spans="2:29" ht="15"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32"/>
      <c r="AC300" s="134"/>
    </row>
    <row r="301" spans="2:29" ht="15.75" thickBot="1"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3"/>
      <c r="AC301" s="134"/>
    </row>
    <row r="302" spans="28:29" ht="15.75" thickTop="1">
      <c r="AB302"/>
      <c r="AC302" s="134"/>
    </row>
    <row r="303" spans="28:29" ht="15.75" thickBot="1">
      <c r="AB303"/>
      <c r="AC303" s="134"/>
    </row>
    <row r="304" spans="2:29" ht="15.75" thickTop="1">
      <c r="B304" s="27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135">
        <v>9</v>
      </c>
      <c r="AC304" s="134"/>
    </row>
    <row r="305" spans="2:29" ht="15"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32"/>
      <c r="AC305" s="134"/>
    </row>
    <row r="306" spans="2:29" ht="15"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208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32"/>
      <c r="AC306" s="134"/>
    </row>
    <row r="307" spans="2:29" ht="15"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32"/>
      <c r="AC307" s="134"/>
    </row>
    <row r="308" spans="2:29" ht="15">
      <c r="B308" s="26"/>
      <c r="C308" s="6"/>
      <c r="D308" s="6" t="s">
        <v>247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210" t="s">
        <v>200</v>
      </c>
      <c r="S308" s="6"/>
      <c r="T308" s="6"/>
      <c r="U308" s="6"/>
      <c r="V308" s="6"/>
      <c r="W308" s="6"/>
      <c r="X308" s="6"/>
      <c r="Y308" s="6"/>
      <c r="Z308" s="6"/>
      <c r="AA308" s="6"/>
      <c r="AB308" s="32"/>
      <c r="AC308" s="134"/>
    </row>
    <row r="309" spans="2:28" ht="15.75">
      <c r="B309" s="26"/>
      <c r="C309" s="6"/>
      <c r="D309" s="35" t="s">
        <v>137</v>
      </c>
      <c r="E309" s="42" t="s">
        <v>138</v>
      </c>
      <c r="F309" s="42" t="s">
        <v>41</v>
      </c>
      <c r="G309" s="42" t="s">
        <v>140</v>
      </c>
      <c r="H309" s="42" t="s">
        <v>42</v>
      </c>
      <c r="I309" s="35" t="s">
        <v>142</v>
      </c>
      <c r="J309" s="125" t="s">
        <v>142</v>
      </c>
      <c r="K309" s="39" t="s">
        <v>143</v>
      </c>
      <c r="L309" s="42" t="s">
        <v>145</v>
      </c>
      <c r="M309" s="6"/>
      <c r="N309" s="6"/>
      <c r="O309" s="6"/>
      <c r="P309" s="6"/>
      <c r="Q309" s="6"/>
      <c r="R309" s="65" t="s">
        <v>0</v>
      </c>
      <c r="S309" s="6"/>
      <c r="T309" s="11"/>
      <c r="U309" s="6"/>
      <c r="V309" s="6"/>
      <c r="W309" s="6"/>
      <c r="X309" s="6"/>
      <c r="Y309" s="6"/>
      <c r="Z309" s="6"/>
      <c r="AA309" s="6"/>
      <c r="AB309" s="136"/>
    </row>
    <row r="310" spans="2:28" ht="17.25">
      <c r="B310" s="26"/>
      <c r="C310" s="6"/>
      <c r="D310" s="37"/>
      <c r="E310" s="43" t="s">
        <v>139</v>
      </c>
      <c r="F310" s="43" t="s">
        <v>2</v>
      </c>
      <c r="G310" s="43" t="s">
        <v>1</v>
      </c>
      <c r="H310" s="43" t="s">
        <v>141</v>
      </c>
      <c r="I310" s="37" t="s">
        <v>32</v>
      </c>
      <c r="J310" s="92" t="s">
        <v>184</v>
      </c>
      <c r="K310" s="41" t="s">
        <v>144</v>
      </c>
      <c r="L310" s="179" t="s">
        <v>146</v>
      </c>
      <c r="M310" s="6"/>
      <c r="N310" s="6"/>
      <c r="O310" s="6"/>
      <c r="P310" s="6" t="s">
        <v>76</v>
      </c>
      <c r="Q310" s="6"/>
      <c r="R310" s="7"/>
      <c r="S310" s="6"/>
      <c r="T310" s="8">
        <f>I312</f>
        <v>769.7822377327097</v>
      </c>
      <c r="U310" s="6"/>
      <c r="V310" s="6"/>
      <c r="W310" s="6"/>
      <c r="X310" s="6"/>
      <c r="Y310" s="6"/>
      <c r="Z310" s="6"/>
      <c r="AA310" s="6"/>
      <c r="AB310" s="136"/>
    </row>
    <row r="311" spans="2:28" ht="15">
      <c r="B311" s="26"/>
      <c r="C311" s="6"/>
      <c r="D311" s="43" t="s">
        <v>101</v>
      </c>
      <c r="E311" s="43">
        <f aca="true" t="shared" si="20" ref="E311:J314">D274</f>
        <v>8</v>
      </c>
      <c r="F311" s="43">
        <f t="shared" si="20"/>
        <v>130</v>
      </c>
      <c r="G311" s="43">
        <f t="shared" si="20"/>
        <v>100</v>
      </c>
      <c r="H311" s="81">
        <f t="shared" si="20"/>
        <v>0.3490658503988659</v>
      </c>
      <c r="I311" s="209">
        <f t="shared" si="20"/>
        <v>2113.671875</v>
      </c>
      <c r="J311" s="81">
        <f t="shared" si="20"/>
        <v>4.709296165364583</v>
      </c>
      <c r="K311" s="215">
        <f>J311/H311</f>
        <v>13.49113973762666</v>
      </c>
      <c r="L311" s="87">
        <f>(149*H274/(E274*D274^2.63))^1.85</f>
        <v>73.60961818387796</v>
      </c>
      <c r="M311" s="6"/>
      <c r="N311" s="6"/>
      <c r="O311" s="6"/>
      <c r="P311" s="208">
        <f>I311</f>
        <v>2113.671875</v>
      </c>
      <c r="Q311" s="9" t="s">
        <v>33</v>
      </c>
      <c r="R311" s="10">
        <f>F326</f>
        <v>51.953125</v>
      </c>
      <c r="S311" s="11"/>
      <c r="T311" s="11"/>
      <c r="U311" s="11"/>
      <c r="V311" s="11"/>
      <c r="W311" s="10">
        <f>F327</f>
        <v>51.953125</v>
      </c>
      <c r="X311" s="6" t="s">
        <v>34</v>
      </c>
      <c r="Y311" s="6"/>
      <c r="Z311" s="6"/>
      <c r="AA311" s="6"/>
      <c r="AB311" s="136"/>
    </row>
    <row r="312" spans="2:28" ht="15">
      <c r="B312" s="26"/>
      <c r="C312" s="6"/>
      <c r="D312" s="44" t="s">
        <v>147</v>
      </c>
      <c r="E312" s="43">
        <f t="shared" si="20"/>
        <v>8</v>
      </c>
      <c r="F312" s="43">
        <f t="shared" si="20"/>
        <v>130</v>
      </c>
      <c r="G312" s="43">
        <f t="shared" si="20"/>
        <v>1500</v>
      </c>
      <c r="H312" s="81">
        <f t="shared" si="20"/>
        <v>0.3490658503988659</v>
      </c>
      <c r="I312" s="209">
        <f t="shared" si="20"/>
        <v>769.7822377327097</v>
      </c>
      <c r="J312" s="81">
        <f t="shared" si="20"/>
        <v>1.7150876553724395</v>
      </c>
      <c r="K312" s="215">
        <f aca="true" t="shared" si="21" ref="K312:K321">J312/H312</f>
        <v>4.913364207391431</v>
      </c>
      <c r="L312" s="87">
        <f>L241</f>
        <v>11.253780312303638</v>
      </c>
      <c r="M312" s="6"/>
      <c r="N312" s="6"/>
      <c r="O312" s="6"/>
      <c r="P312" s="6"/>
      <c r="Q312" s="9"/>
      <c r="R312" s="11"/>
      <c r="S312" s="11"/>
      <c r="T312" s="11"/>
      <c r="U312" s="11"/>
      <c r="V312" s="11"/>
      <c r="W312" s="11"/>
      <c r="X312" s="6"/>
      <c r="Y312" s="6"/>
      <c r="Z312" s="6"/>
      <c r="AA312" s="6"/>
      <c r="AB312" s="136"/>
    </row>
    <row r="313" spans="2:28" ht="15">
      <c r="B313" s="26"/>
      <c r="C313" s="6"/>
      <c r="D313" s="44" t="s">
        <v>148</v>
      </c>
      <c r="E313" s="43">
        <f t="shared" si="20"/>
        <v>8</v>
      </c>
      <c r="F313" s="43">
        <f t="shared" si="20"/>
        <v>130</v>
      </c>
      <c r="G313" s="43">
        <f t="shared" si="20"/>
        <v>400</v>
      </c>
      <c r="H313" s="81">
        <f t="shared" si="20"/>
        <v>0.3490658503988659</v>
      </c>
      <c r="I313" s="209">
        <f t="shared" si="20"/>
        <v>717.8291127327097</v>
      </c>
      <c r="J313" s="81">
        <f t="shared" si="20"/>
        <v>1.599335226987023</v>
      </c>
      <c r="K313" s="215">
        <f t="shared" si="21"/>
        <v>4.581757926647697</v>
      </c>
      <c r="L313" s="87">
        <f>L242</f>
        <v>9.889101166750121</v>
      </c>
      <c r="M313" s="6"/>
      <c r="N313" s="6"/>
      <c r="O313" s="6"/>
      <c r="P313" s="6"/>
      <c r="Q313" s="12">
        <f>I318</f>
        <v>1343.8896372672896</v>
      </c>
      <c r="R313" s="11"/>
      <c r="S313" s="11"/>
      <c r="T313" s="11"/>
      <c r="U313" s="11"/>
      <c r="V313" s="11"/>
      <c r="W313" s="11"/>
      <c r="X313" s="6"/>
      <c r="Y313" s="6"/>
      <c r="Z313" s="6"/>
      <c r="AA313" s="6"/>
      <c r="AB313" s="136"/>
    </row>
    <row r="314" spans="2:28" ht="15">
      <c r="B314" s="26"/>
      <c r="C314" s="6"/>
      <c r="D314" s="44" t="s">
        <v>149</v>
      </c>
      <c r="E314" s="43">
        <f t="shared" si="20"/>
        <v>8</v>
      </c>
      <c r="F314" s="43">
        <f t="shared" si="20"/>
        <v>130</v>
      </c>
      <c r="G314" s="43">
        <f t="shared" si="20"/>
        <v>800</v>
      </c>
      <c r="H314" s="81">
        <f t="shared" si="20"/>
        <v>0.3490658503988659</v>
      </c>
      <c r="I314" s="209">
        <f t="shared" si="20"/>
        <v>918.4888561427931</v>
      </c>
      <c r="J314" s="81">
        <f t="shared" si="20"/>
        <v>2.046408479633745</v>
      </c>
      <c r="K314" s="216">
        <f t="shared" si="21"/>
        <v>5.862528452139854</v>
      </c>
      <c r="L314" s="87">
        <f>L255</f>
        <v>15.602871917514028</v>
      </c>
      <c r="M314" s="6"/>
      <c r="N314" s="6"/>
      <c r="O314" s="6"/>
      <c r="P314" s="6"/>
      <c r="Q314" s="9"/>
      <c r="R314" s="11"/>
      <c r="S314" s="11"/>
      <c r="T314" s="11"/>
      <c r="U314" s="11"/>
      <c r="V314" s="11"/>
      <c r="W314" s="11"/>
      <c r="X314" s="206">
        <f>I313</f>
        <v>717.8291127327097</v>
      </c>
      <c r="Y314" s="6"/>
      <c r="Z314" s="6"/>
      <c r="AA314" s="6"/>
      <c r="AB314" s="136"/>
    </row>
    <row r="315" spans="2:28" ht="15">
      <c r="B315" s="26"/>
      <c r="C315" s="6"/>
      <c r="D315" s="44" t="s">
        <v>196</v>
      </c>
      <c r="E315" s="43">
        <f aca="true" t="shared" si="22" ref="E315:H321">D278</f>
        <v>8</v>
      </c>
      <c r="F315" s="43">
        <f t="shared" si="22"/>
        <v>130</v>
      </c>
      <c r="G315" s="43">
        <f t="shared" si="22"/>
        <v>750</v>
      </c>
      <c r="H315" s="81">
        <f t="shared" si="22"/>
        <v>0.3490658503988659</v>
      </c>
      <c r="I315" s="209">
        <f>-H278</f>
        <v>883.4642688572069</v>
      </c>
      <c r="J315" s="81">
        <f aca="true" t="shared" si="23" ref="J315:J321">I278</f>
        <v>-1.9683731154183377</v>
      </c>
      <c r="K315" s="216">
        <f t="shared" si="21"/>
        <v>-5.638973601024401</v>
      </c>
      <c r="L315" s="87">
        <f>L256</f>
        <v>-14.520028696862639</v>
      </c>
      <c r="M315" s="6"/>
      <c r="N315" s="6"/>
      <c r="O315" s="6"/>
      <c r="P315" s="6"/>
      <c r="Q315" s="9"/>
      <c r="R315" s="11"/>
      <c r="S315" s="11"/>
      <c r="T315" s="11"/>
      <c r="U315" s="11"/>
      <c r="V315" s="11"/>
      <c r="W315" s="11"/>
      <c r="X315" s="6"/>
      <c r="Y315" s="6"/>
      <c r="Z315" s="6"/>
      <c r="AA315" s="6"/>
      <c r="AB315" s="136"/>
    </row>
    <row r="316" spans="2:28" ht="15">
      <c r="B316" s="26"/>
      <c r="C316" s="6"/>
      <c r="D316" s="44" t="s">
        <v>197</v>
      </c>
      <c r="E316" s="43">
        <f t="shared" si="22"/>
        <v>8</v>
      </c>
      <c r="F316" s="43">
        <f t="shared" si="22"/>
        <v>130</v>
      </c>
      <c r="G316" s="43">
        <f t="shared" si="22"/>
        <v>750</v>
      </c>
      <c r="H316" s="81">
        <f t="shared" si="22"/>
        <v>0.3490658503988659</v>
      </c>
      <c r="I316" s="209">
        <f>-H279</f>
        <v>536.6288257784072</v>
      </c>
      <c r="J316" s="81">
        <f t="shared" si="23"/>
        <v>-1.195617967648054</v>
      </c>
      <c r="K316" s="216">
        <f t="shared" si="21"/>
        <v>-3.425193172812125</v>
      </c>
      <c r="L316" s="87">
        <f>L250</f>
        <v>-5.77317523514508</v>
      </c>
      <c r="M316" s="6"/>
      <c r="N316" s="6"/>
      <c r="O316" s="208">
        <f>Q319+S316</f>
        <v>1291.9365122672903</v>
      </c>
      <c r="P316" s="6"/>
      <c r="Q316" s="9" t="s">
        <v>35</v>
      </c>
      <c r="R316" s="11"/>
      <c r="S316" s="17">
        <f>I319</f>
        <v>703.3545614888831</v>
      </c>
      <c r="T316" s="9" t="s">
        <v>36</v>
      </c>
      <c r="U316" s="6"/>
      <c r="V316" s="17">
        <f>I320</f>
        <v>252.61286841008314</v>
      </c>
      <c r="W316" s="11"/>
      <c r="X316" s="6" t="s">
        <v>37</v>
      </c>
      <c r="Y316" s="6"/>
      <c r="Z316" s="6"/>
      <c r="AA316" s="6"/>
      <c r="AB316" s="136"/>
    </row>
    <row r="317" spans="2:28" ht="15">
      <c r="B317" s="26"/>
      <c r="C317" s="6"/>
      <c r="D317" s="44" t="s">
        <v>199</v>
      </c>
      <c r="E317" s="43">
        <f t="shared" si="22"/>
        <v>8</v>
      </c>
      <c r="F317" s="43">
        <f t="shared" si="22"/>
        <v>130</v>
      </c>
      <c r="G317" s="43">
        <f t="shared" si="22"/>
        <v>800</v>
      </c>
      <c r="H317" s="81">
        <f t="shared" si="22"/>
        <v>0.3490658503988659</v>
      </c>
      <c r="I317" s="209">
        <f>-H280</f>
        <v>588.5819507784072</v>
      </c>
      <c r="J317" s="81">
        <f t="shared" si="23"/>
        <v>-1.3113703960334708</v>
      </c>
      <c r="K317" s="216">
        <f t="shared" si="21"/>
        <v>-3.7567994535558595</v>
      </c>
      <c r="L317" s="87">
        <f>L251</f>
        <v>-6.849528599267369</v>
      </c>
      <c r="M317" s="6"/>
      <c r="N317" s="6"/>
      <c r="O317" s="6"/>
      <c r="P317" s="6"/>
      <c r="Q317" s="9" t="s">
        <v>0</v>
      </c>
      <c r="R317" s="10">
        <f>F328</f>
        <v>51.953125</v>
      </c>
      <c r="S317" s="11"/>
      <c r="T317" s="11"/>
      <c r="U317" s="10">
        <f>F329</f>
        <v>51.953125</v>
      </c>
      <c r="V317" s="11"/>
      <c r="W317" s="10">
        <f>F330</f>
        <v>51.953125</v>
      </c>
      <c r="X317" s="6"/>
      <c r="Y317" s="6"/>
      <c r="Z317" s="6"/>
      <c r="AA317" s="6"/>
      <c r="AB317" s="136"/>
    </row>
    <row r="318" spans="2:28" ht="15">
      <c r="B318" s="26"/>
      <c r="C318" s="6"/>
      <c r="D318" s="44" t="s">
        <v>198</v>
      </c>
      <c r="E318" s="43">
        <f t="shared" si="22"/>
        <v>8</v>
      </c>
      <c r="F318" s="43">
        <f t="shared" si="22"/>
        <v>130</v>
      </c>
      <c r="G318" s="43">
        <f t="shared" si="22"/>
        <v>400</v>
      </c>
      <c r="H318" s="81">
        <f t="shared" si="22"/>
        <v>0.3490658503988659</v>
      </c>
      <c r="I318" s="209">
        <f>-H281</f>
        <v>1343.8896372672896</v>
      </c>
      <c r="J318" s="81">
        <f t="shared" si="23"/>
        <v>-2.9942085099921423</v>
      </c>
      <c r="K318" s="216">
        <f t="shared" si="21"/>
        <v>-8.577775530235227</v>
      </c>
      <c r="L318" s="87">
        <f>L245</f>
        <v>-31.54935709146134</v>
      </c>
      <c r="M318" s="6"/>
      <c r="N318" s="6"/>
      <c r="O318" s="6"/>
      <c r="P318" s="6"/>
      <c r="Q318" s="9"/>
      <c r="R318" s="11"/>
      <c r="S318" s="11"/>
      <c r="T318" s="11"/>
      <c r="U318" s="11"/>
      <c r="V318" s="11"/>
      <c r="W318" s="11"/>
      <c r="X318" s="6"/>
      <c r="Y318" s="6"/>
      <c r="Z318" s="6"/>
      <c r="AA318" s="6"/>
      <c r="AB318" s="136"/>
    </row>
    <row r="319" spans="2:28" ht="15">
      <c r="B319" s="26"/>
      <c r="C319" s="6"/>
      <c r="D319" s="44" t="s">
        <v>167</v>
      </c>
      <c r="E319" s="43">
        <f t="shared" si="22"/>
        <v>8</v>
      </c>
      <c r="F319" s="43">
        <f t="shared" si="22"/>
        <v>130</v>
      </c>
      <c r="G319" s="43">
        <f t="shared" si="22"/>
        <v>750</v>
      </c>
      <c r="H319" s="81">
        <f t="shared" si="22"/>
        <v>0.3490658503988659</v>
      </c>
      <c r="I319" s="209">
        <f>H282</f>
        <v>703.3545614888831</v>
      </c>
      <c r="J319" s="81">
        <f t="shared" si="23"/>
        <v>1.5670856855732562</v>
      </c>
      <c r="K319" s="216">
        <f t="shared" si="21"/>
        <v>4.489369795935637</v>
      </c>
      <c r="L319" s="87">
        <f>L244</f>
        <v>-9.523362476297132</v>
      </c>
      <c r="M319" s="6"/>
      <c r="N319" s="6"/>
      <c r="O319" s="6"/>
      <c r="P319" s="6"/>
      <c r="Q319" s="12">
        <f>I317</f>
        <v>588.5819507784072</v>
      </c>
      <c r="R319" s="11"/>
      <c r="S319" s="11"/>
      <c r="T319" s="11"/>
      <c r="U319" s="207">
        <f>I321</f>
        <v>398.7885680787998</v>
      </c>
      <c r="V319" s="11"/>
      <c r="W319" s="11"/>
      <c r="X319" s="6"/>
      <c r="Y319" s="6"/>
      <c r="Z319" s="6"/>
      <c r="AA319" s="6"/>
      <c r="AB319" s="136"/>
    </row>
    <row r="320" spans="2:28" ht="15">
      <c r="B320" s="26"/>
      <c r="C320" s="6"/>
      <c r="D320" s="44" t="s">
        <v>154</v>
      </c>
      <c r="E320" s="43">
        <f t="shared" si="22"/>
        <v>8</v>
      </c>
      <c r="F320" s="43">
        <f t="shared" si="22"/>
        <v>130</v>
      </c>
      <c r="G320" s="43">
        <f t="shared" si="22"/>
        <v>750</v>
      </c>
      <c r="H320" s="81">
        <f t="shared" si="22"/>
        <v>0.3490658503988659</v>
      </c>
      <c r="I320" s="209">
        <f>H283</f>
        <v>252.61286841008314</v>
      </c>
      <c r="J320" s="81">
        <f t="shared" si="23"/>
        <v>0.5628256810321387</v>
      </c>
      <c r="K320" s="216">
        <f t="shared" si="21"/>
        <v>1.612376806235891</v>
      </c>
      <c r="L320" s="87">
        <f>L243</f>
        <v>-1.432387308175005</v>
      </c>
      <c r="M320" s="6"/>
      <c r="N320" s="6"/>
      <c r="O320" s="6"/>
      <c r="P320" s="6"/>
      <c r="Q320" s="9"/>
      <c r="R320" s="11"/>
      <c r="S320" s="11"/>
      <c r="T320" s="11"/>
      <c r="U320" s="11"/>
      <c r="V320" s="11"/>
      <c r="W320" s="11"/>
      <c r="X320" s="206">
        <f>I314</f>
        <v>918.4888561427931</v>
      </c>
      <c r="Y320" s="6"/>
      <c r="Z320" s="6"/>
      <c r="AA320" s="6"/>
      <c r="AB320" s="136"/>
    </row>
    <row r="321" spans="2:28" ht="15">
      <c r="B321" s="26"/>
      <c r="C321" s="6"/>
      <c r="D321" s="44" t="s">
        <v>155</v>
      </c>
      <c r="E321" s="43">
        <f t="shared" si="22"/>
        <v>8</v>
      </c>
      <c r="F321" s="43">
        <f t="shared" si="22"/>
        <v>130</v>
      </c>
      <c r="G321" s="43">
        <f t="shared" si="22"/>
        <v>800</v>
      </c>
      <c r="H321" s="81">
        <f t="shared" si="22"/>
        <v>0.3490658503988659</v>
      </c>
      <c r="I321" s="209">
        <f>H284</f>
        <v>398.7885680787998</v>
      </c>
      <c r="J321" s="81">
        <f t="shared" si="23"/>
        <v>0.8885075761557005</v>
      </c>
      <c r="K321" s="216">
        <f t="shared" si="21"/>
        <v>2.545386708956011</v>
      </c>
      <c r="L321" s="87">
        <f>L257</f>
        <v>-3.333433835504502</v>
      </c>
      <c r="M321" s="6"/>
      <c r="N321" s="6"/>
      <c r="O321" s="6"/>
      <c r="P321" s="6"/>
      <c r="Q321" s="9"/>
      <c r="R321" s="11"/>
      <c r="S321" s="11"/>
      <c r="T321" s="11"/>
      <c r="U321" s="11"/>
      <c r="V321" s="11"/>
      <c r="W321" s="11"/>
      <c r="X321" s="6"/>
      <c r="Y321" s="6"/>
      <c r="Z321" s="6"/>
      <c r="AA321" s="6"/>
      <c r="AB321" s="136"/>
    </row>
    <row r="322" spans="2:28" ht="15">
      <c r="B322" s="26"/>
      <c r="C322" s="6"/>
      <c r="D322" s="6"/>
      <c r="E322" s="6"/>
      <c r="F322" s="6"/>
      <c r="G322" s="6"/>
      <c r="H322" s="6"/>
      <c r="I322" s="6"/>
      <c r="J322" s="6"/>
      <c r="K322" s="6"/>
      <c r="L322" s="48"/>
      <c r="M322" s="6"/>
      <c r="N322" s="6"/>
      <c r="O322" s="6"/>
      <c r="P322" s="6"/>
      <c r="Q322" s="6"/>
      <c r="R322" s="11"/>
      <c r="S322" s="11"/>
      <c r="T322" s="11"/>
      <c r="U322" s="11"/>
      <c r="V322" s="11"/>
      <c r="W322" s="11"/>
      <c r="X322" s="6"/>
      <c r="Y322" s="6"/>
      <c r="Z322" s="6"/>
      <c r="AA322" s="6"/>
      <c r="AB322" s="136"/>
    </row>
    <row r="323" spans="2:28" ht="15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 t="s">
        <v>77</v>
      </c>
      <c r="Q323" s="9" t="s">
        <v>38</v>
      </c>
      <c r="R323" s="10">
        <f>F331</f>
        <v>51.953125</v>
      </c>
      <c r="S323" s="11"/>
      <c r="T323" s="9" t="s">
        <v>39</v>
      </c>
      <c r="U323" s="10">
        <f>F332</f>
        <v>51.953125</v>
      </c>
      <c r="V323" s="11"/>
      <c r="W323" s="14">
        <f>F333</f>
        <v>1801.953125</v>
      </c>
      <c r="X323" s="6" t="s">
        <v>40</v>
      </c>
      <c r="Y323" s="6"/>
      <c r="Z323" s="6"/>
      <c r="AA323" s="6"/>
      <c r="AB323" s="136"/>
    </row>
    <row r="324" spans="2:28" ht="15">
      <c r="B324" s="26"/>
      <c r="C324" s="6"/>
      <c r="D324" s="6" t="s">
        <v>194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8">
        <f>I316</f>
        <v>536.6288257784072</v>
      </c>
      <c r="T324" s="6"/>
      <c r="U324" s="6"/>
      <c r="V324" s="8">
        <f>I315</f>
        <v>883.4642688572069</v>
      </c>
      <c r="W324" s="6"/>
      <c r="X324" s="6"/>
      <c r="Y324" s="6"/>
      <c r="Z324" s="6"/>
      <c r="AA324" s="6"/>
      <c r="AB324" s="136"/>
    </row>
    <row r="325" spans="2:28" ht="15">
      <c r="B325" s="26"/>
      <c r="C325" s="6"/>
      <c r="D325" s="48" t="s">
        <v>206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136"/>
    </row>
    <row r="326" spans="2:28" ht="15">
      <c r="B326" s="26"/>
      <c r="C326" s="6"/>
      <c r="D326" s="44" t="s">
        <v>60</v>
      </c>
      <c r="E326" s="44" t="s">
        <v>24</v>
      </c>
      <c r="F326" s="46">
        <f aca="true" t="shared" si="24" ref="F326:F333">P52</f>
        <v>51.953125</v>
      </c>
      <c r="G326" s="101" t="s">
        <v>32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136"/>
    </row>
    <row r="327" spans="2:28" ht="15">
      <c r="B327" s="26"/>
      <c r="C327" s="6"/>
      <c r="D327" s="44" t="s">
        <v>52</v>
      </c>
      <c r="E327" s="44" t="s">
        <v>24</v>
      </c>
      <c r="F327" s="46">
        <f t="shared" si="24"/>
        <v>51.953125</v>
      </c>
      <c r="G327" s="101" t="s">
        <v>32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136"/>
    </row>
    <row r="328" spans="2:28" ht="15">
      <c r="B328" s="26"/>
      <c r="C328" s="6"/>
      <c r="D328" s="44" t="s">
        <v>61</v>
      </c>
      <c r="E328" s="44" t="s">
        <v>24</v>
      </c>
      <c r="F328" s="46">
        <f t="shared" si="24"/>
        <v>51.953125</v>
      </c>
      <c r="G328" s="101" t="s">
        <v>32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208"/>
      <c r="U328" s="6"/>
      <c r="V328" s="6"/>
      <c r="W328" s="6"/>
      <c r="X328" s="6"/>
      <c r="Y328" s="6"/>
      <c r="Z328" s="6"/>
      <c r="AA328" s="6"/>
      <c r="AB328" s="136"/>
    </row>
    <row r="329" spans="2:28" ht="15">
      <c r="B329" s="26"/>
      <c r="C329" s="6"/>
      <c r="D329" s="44" t="s">
        <v>62</v>
      </c>
      <c r="E329" s="44" t="s">
        <v>24</v>
      </c>
      <c r="F329" s="46">
        <f t="shared" si="24"/>
        <v>51.953125</v>
      </c>
      <c r="G329" s="101" t="s">
        <v>32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136"/>
    </row>
    <row r="330" spans="2:28" ht="15">
      <c r="B330" s="26"/>
      <c r="C330" s="6"/>
      <c r="D330" s="44" t="s">
        <v>63</v>
      </c>
      <c r="E330" s="44" t="s">
        <v>24</v>
      </c>
      <c r="F330" s="46">
        <f t="shared" si="24"/>
        <v>51.953125</v>
      </c>
      <c r="G330" s="101" t="s">
        <v>32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136"/>
    </row>
    <row r="331" spans="2:28" ht="15">
      <c r="B331" s="26"/>
      <c r="C331" s="6"/>
      <c r="D331" s="44" t="s">
        <v>57</v>
      </c>
      <c r="E331" s="44" t="s">
        <v>24</v>
      </c>
      <c r="F331" s="46">
        <f t="shared" si="24"/>
        <v>51.953125</v>
      </c>
      <c r="G331" s="101" t="s">
        <v>32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136"/>
    </row>
    <row r="332" spans="2:28" ht="15">
      <c r="B332" s="26"/>
      <c r="C332" s="6"/>
      <c r="D332" s="44" t="s">
        <v>59</v>
      </c>
      <c r="E332" s="44" t="s">
        <v>24</v>
      </c>
      <c r="F332" s="46">
        <f t="shared" si="24"/>
        <v>51.953125</v>
      </c>
      <c r="G332" s="101" t="s">
        <v>32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136"/>
    </row>
    <row r="333" spans="2:28" ht="15">
      <c r="B333" s="26"/>
      <c r="C333" s="6"/>
      <c r="D333" s="44" t="s">
        <v>64</v>
      </c>
      <c r="E333" s="44" t="s">
        <v>65</v>
      </c>
      <c r="F333" s="46">
        <f t="shared" si="24"/>
        <v>1801.953125</v>
      </c>
      <c r="G333" s="101" t="s">
        <v>32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136"/>
    </row>
    <row r="334" spans="2:28" ht="15">
      <c r="B334" s="2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136"/>
    </row>
    <row r="335" spans="2:28" ht="15">
      <c r="B335" s="2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136"/>
    </row>
    <row r="336" spans="2:28" ht="15">
      <c r="B336" s="26"/>
      <c r="C336" s="6"/>
      <c r="D336" s="6"/>
      <c r="E336" s="6"/>
      <c r="F336" s="6"/>
      <c r="G336" s="6"/>
      <c r="H336" s="6"/>
      <c r="I336" s="6"/>
      <c r="J336" s="1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136"/>
    </row>
    <row r="337" spans="2:28" ht="15">
      <c r="B337" s="26"/>
      <c r="C337" s="6"/>
      <c r="D337" s="6"/>
      <c r="E337" s="6"/>
      <c r="F337" s="6"/>
      <c r="G337" s="6"/>
      <c r="H337" s="6"/>
      <c r="I337" s="6"/>
      <c r="J337" s="1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136"/>
    </row>
    <row r="338" spans="2:28" ht="15">
      <c r="B338" s="2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136"/>
    </row>
    <row r="339" spans="2:28" ht="15.75" thickBot="1">
      <c r="B339" s="2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137"/>
    </row>
    <row r="340" ht="15.75" thickTop="1"/>
  </sheetData>
  <sheetProtection/>
  <printOptions/>
  <pageMargins left="0.7" right="0.7" top="0.75" bottom="0.75" header="0.3" footer="0.3"/>
  <pageSetup horizontalDpi="600" verticalDpi="600" orientation="portrait" r:id="rId22"/>
  <ignoredErrors>
    <ignoredError sqref="H220:H223 H207:H212 H214:H218 I315:I318" formula="1"/>
  </ignoredErrors>
  <drawing r:id="rId21"/>
  <legacyDrawing r:id="rId20"/>
  <oleObjects>
    <oleObject progId="Equation.3" dvAspect="DVASPECT_ICON" shapeId="96229398" r:id="rId1"/>
    <oleObject progId="Equation.3" shapeId="96229397" r:id="rId2"/>
    <oleObject progId="Equation.3" shapeId="96229396" r:id="rId3"/>
    <oleObject progId="Equation.3" shapeId="96229395" r:id="rId4"/>
    <oleObject progId="Equation.3" shapeId="96229394" r:id="rId5"/>
    <oleObject progId="Equation.3" shapeId="96229393" r:id="rId6"/>
    <oleObject progId="Equation.3" shapeId="96229392" r:id="rId7"/>
    <oleObject progId="Equation.3" shapeId="96229391" r:id="rId8"/>
    <oleObject progId="Equation.3" shapeId="96229390" r:id="rId9"/>
    <oleObject progId="Equation.3" shapeId="96229389" r:id="rId10"/>
    <oleObject progId="Equation.3" shapeId="96229388" r:id="rId11"/>
    <oleObject progId="Equation.3" dvAspect="DVASPECT_ICON" shapeId="96229387" r:id="rId12"/>
    <oleObject progId="Equation.3" shapeId="96229386" r:id="rId13"/>
    <oleObject progId="Equation.3" shapeId="96229385" r:id="rId14"/>
    <oleObject progId="Equation.3" shapeId="96229384" r:id="rId15"/>
    <oleObject progId="Equation.3" shapeId="96229383" r:id="rId16"/>
    <oleObject progId="Equation.3" shapeId="96229382" r:id="rId17"/>
    <oleObject progId="Equation.3" shapeId="96229381" r:id="rId18"/>
    <oleObject progId="Equation.3" shapeId="96229380" r:id="rId1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C22" sqref="C22"/>
    </sheetView>
  </sheetViews>
  <sheetFormatPr defaultColWidth="9.140625" defaultRowHeight="15"/>
  <sheetData>
    <row r="1" ht="15">
      <c r="I1" s="2"/>
    </row>
    <row r="3" ht="15">
      <c r="B3" s="1"/>
    </row>
    <row r="16" spans="2:8" ht="15">
      <c r="B16" s="3"/>
      <c r="D16" s="2"/>
      <c r="E16" s="2"/>
      <c r="F16" s="2"/>
      <c r="G16" s="2"/>
      <c r="H16" s="2"/>
    </row>
    <row r="17" spans="2:8" ht="15">
      <c r="B17" s="2"/>
      <c r="D17" s="2"/>
      <c r="E17" s="2"/>
      <c r="F17" s="2"/>
      <c r="G17" s="2"/>
      <c r="H17" s="2"/>
    </row>
    <row r="20" spans="2:3" ht="15">
      <c r="B20" s="1" t="s">
        <v>6</v>
      </c>
      <c r="C20" s="5" t="s">
        <v>3</v>
      </c>
    </row>
    <row r="21" spans="2:3" ht="15">
      <c r="B21" s="1"/>
      <c r="C21" t="s">
        <v>4</v>
      </c>
    </row>
    <row r="22" spans="2:3" ht="15">
      <c r="B22" s="1"/>
      <c r="C22" s="4" t="s">
        <v>5</v>
      </c>
    </row>
    <row r="23" ht="15">
      <c r="B23" s="1"/>
    </row>
    <row r="24" spans="2:3" ht="15">
      <c r="B24" s="1" t="s">
        <v>109</v>
      </c>
      <c r="C24" s="5" t="s">
        <v>107</v>
      </c>
    </row>
    <row r="25" spans="2:3" ht="15">
      <c r="B25" s="1"/>
      <c r="C25" t="s">
        <v>4</v>
      </c>
    </row>
    <row r="26" spans="2:3" ht="15">
      <c r="B26" s="1"/>
      <c r="C26" s="4" t="s">
        <v>106</v>
      </c>
    </row>
    <row r="27" ht="15">
      <c r="B27" s="1"/>
    </row>
    <row r="28" spans="2:3" ht="15">
      <c r="B28" s="1" t="s">
        <v>110</v>
      </c>
      <c r="C28" s="5" t="s">
        <v>108</v>
      </c>
    </row>
    <row r="29" ht="15">
      <c r="C29" t="s">
        <v>4</v>
      </c>
    </row>
    <row r="30" ht="15">
      <c r="C30" s="4" t="s">
        <v>128</v>
      </c>
    </row>
  </sheetData>
  <sheetProtection/>
  <hyperlinks>
    <hyperlink ref="C22" r:id="rId1" display="https://www.youtube.com/watch?v=pjUxSOCRVoo"/>
    <hyperlink ref="C26" r:id="rId2" display="https://www.youtube.com/watch?v=t35MO1iMp4w"/>
    <hyperlink ref="C30" r:id="rId3" display="https://www.youtube.com/watch?v=Tg4U3Pdzzo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2018-10-17T21:54:19Z</dcterms:created>
  <dcterms:modified xsi:type="dcterms:W3CDTF">2018-10-28T13:36:15Z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